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75" windowWidth="15450" windowHeight="11640" tabRatio="666" activeTab="4"/>
  </bookViews>
  <sheets>
    <sheet name="0901Пр.2(1) спец" sheetId="45" r:id="rId1"/>
    <sheet name="0901+0902 Пр.2(2) палиат" sheetId="31" r:id="rId2"/>
    <sheet name="0901Пр.2(3) Аутоп. Работы" sheetId="47" r:id="rId3"/>
    <sheet name="0901Пр.2(4) высок техн" sheetId="49" r:id="rId4"/>
    <sheet name="0902 Пр.2(5)перв" sheetId="22" r:id="rId5"/>
    <sheet name="0902 Пр.2(6)перв амб" sheetId="40" r:id="rId6"/>
    <sheet name="0902 Пр.2(7)мед освид" sheetId="48" r:id="rId7"/>
    <sheet name="0902 Пр.2(8)молоч кух" sheetId="24" r:id="rId8"/>
    <sheet name="0903 Пр.2 (9)дн стац" sheetId="26" r:id="rId9"/>
    <sheet name="0904 Пр.2(10) скорая" sheetId="27" r:id="rId10"/>
    <sheet name="0906 Пр.2(11) СПК" sheetId="34" r:id="rId11"/>
    <sheet name="0907 Пр.2(12)Дезстан" sheetId="33" r:id="rId12"/>
    <sheet name="0909 Пр.2(13) СПИД" sheetId="35" r:id="rId13"/>
    <sheet name="0909 Пр.2(14)Дом реб" sheetId="42" r:id="rId14"/>
    <sheet name="0909 Пр.2(15)Резерв," sheetId="25" r:id="rId15"/>
    <sheet name="0909 Пр.2(16) стомат" sheetId="36" r:id="rId16"/>
    <sheet name="0909 Пр.2(17)Судмед" sheetId="46" r:id="rId17"/>
    <sheet name="0909 Пр.2(18)МИАЦ" sheetId="32" r:id="rId18"/>
    <sheet name="0801 Пр.2(19) библ" sheetId="38" r:id="rId19"/>
  </sheets>
  <definedNames>
    <definedName name="_xlnm._FilterDatabase" localSheetId="9" hidden="1">'0904 Пр.2(10) скорая'!$A$11:$BM$85</definedName>
    <definedName name="_xlnm.Print_Titles" localSheetId="18">'0801 Пр.2(19) библ'!$3:$9</definedName>
    <definedName name="_xlnm.Print_Titles" localSheetId="1">'0901+0902 Пр.2(2) палиат'!$3:$8</definedName>
    <definedName name="_xlnm.Print_Titles" localSheetId="0">'0901Пр.2(1) спец'!$4:$9</definedName>
    <definedName name="_xlnm.Print_Titles" localSheetId="2">'0901Пр.2(3) Аутоп. Работы'!$3:$8</definedName>
    <definedName name="_xlnm.Print_Titles" localSheetId="3">'0901Пр.2(4) высок техн'!$4:$9</definedName>
    <definedName name="_xlnm.Print_Titles" localSheetId="4">'0902 Пр.2(5)перв'!$5:$10</definedName>
    <definedName name="_xlnm.Print_Titles" localSheetId="5">'0902 Пр.2(6)перв амб'!$3:$8</definedName>
    <definedName name="_xlnm.Print_Titles" localSheetId="6">'0902 Пр.2(7)мед освид'!#REF!</definedName>
    <definedName name="_xlnm.Print_Titles" localSheetId="7">'0902 Пр.2(8)молоч кух'!$4:$10</definedName>
    <definedName name="_xlnm.Print_Titles" localSheetId="8">'0903 Пр.2 (9)дн стац'!$4:$10</definedName>
    <definedName name="_xlnm.Print_Titles" localSheetId="9">'0904 Пр.2(10) скорая'!$4:$9</definedName>
    <definedName name="_xlnm.Print_Titles" localSheetId="10">'0906 Пр.2(11) СПК'!$3:$9</definedName>
    <definedName name="_xlnm.Print_Titles" localSheetId="11">'0907 Пр.2(12)Дезстан'!$4:$10</definedName>
    <definedName name="_xlnm.Print_Titles" localSheetId="12">'0909 Пр.2(13) СПИД'!$3:$9</definedName>
    <definedName name="_xlnm.Print_Titles" localSheetId="13">'0909 Пр.2(14)Дом реб'!$3:$9</definedName>
    <definedName name="_xlnm.Print_Titles" localSheetId="15">'0909 Пр.2(16) стомат'!$3:$9</definedName>
    <definedName name="_xlnm.Print_Titles" localSheetId="16">'0909 Пр.2(17)Судмед'!$3:$9</definedName>
    <definedName name="_xlnm.Print_Titles" localSheetId="17">'0909 Пр.2(18)МИАЦ'!$3:$9</definedName>
    <definedName name="_xlnm.Print_Area" localSheetId="1">'0901+0902 Пр.2(2) палиат'!$A$1:$BO$37</definedName>
  </definedNames>
  <calcPr calcId="124519"/>
</workbook>
</file>

<file path=xl/calcChain.xml><?xml version="1.0" encoding="utf-8"?>
<calcChain xmlns="http://schemas.openxmlformats.org/spreadsheetml/2006/main">
  <c r="F15" i="46"/>
  <c r="F16"/>
  <c r="F17"/>
  <c r="F18" s="1"/>
  <c r="F21" s="1"/>
  <c r="E18"/>
  <c r="L137" i="22"/>
  <c r="K135"/>
  <c r="O132"/>
  <c r="O62"/>
  <c r="H62"/>
  <c r="O60"/>
  <c r="W56"/>
  <c r="W57"/>
  <c r="W58"/>
  <c r="W122"/>
  <c r="W123"/>
  <c r="W124"/>
  <c r="V125"/>
  <c r="J146"/>
  <c r="J147"/>
  <c r="V152"/>
  <c r="W152" s="1"/>
  <c r="V153"/>
  <c r="W153" s="1"/>
  <c r="V154"/>
  <c r="W154" s="1"/>
  <c r="V151"/>
  <c r="V155" s="1"/>
  <c r="AG72"/>
  <c r="AD71"/>
  <c r="AG65"/>
  <c r="AG62"/>
  <c r="AK65"/>
  <c r="V65"/>
  <c r="AK62"/>
  <c r="AD62"/>
  <c r="BF59"/>
  <c r="V59"/>
  <c r="BF52"/>
  <c r="V53"/>
  <c r="W53" s="1"/>
  <c r="G53" s="1"/>
  <c r="V51"/>
  <c r="V52"/>
  <c r="W52" s="1"/>
  <c r="BH52" s="1"/>
  <c r="V50"/>
  <c r="W50" s="1"/>
  <c r="W51"/>
  <c r="E30"/>
  <c r="R34" i="31"/>
  <c r="Q34"/>
  <c r="O34"/>
  <c r="N34"/>
  <c r="M34"/>
  <c r="L34"/>
  <c r="K34"/>
  <c r="J34"/>
  <c r="G34"/>
  <c r="F34"/>
  <c r="H34"/>
  <c r="F32"/>
  <c r="G32"/>
  <c r="H32" s="1"/>
  <c r="J32"/>
  <c r="K32"/>
  <c r="L32"/>
  <c r="M32"/>
  <c r="N32"/>
  <c r="O32"/>
  <c r="Q32"/>
  <c r="R32"/>
  <c r="O31"/>
  <c r="N31"/>
  <c r="O29"/>
  <c r="N29"/>
  <c r="V26" i="49"/>
  <c r="F26" s="1"/>
  <c r="D47"/>
  <c r="D26"/>
  <c r="F46"/>
  <c r="G46"/>
  <c r="H46"/>
  <c r="I46"/>
  <c r="J46"/>
  <c r="K46"/>
  <c r="L46"/>
  <c r="M46"/>
  <c r="N46"/>
  <c r="O46"/>
  <c r="P46"/>
  <c r="Q46" s="1"/>
  <c r="T46" s="1"/>
  <c r="R46"/>
  <c r="S46"/>
  <c r="O25"/>
  <c r="P25"/>
  <c r="Q25" s="1"/>
  <c r="T25" s="1"/>
  <c r="R25"/>
  <c r="S25"/>
  <c r="F25"/>
  <c r="G25"/>
  <c r="H25"/>
  <c r="I25"/>
  <c r="J25"/>
  <c r="K25"/>
  <c r="L25"/>
  <c r="M25"/>
  <c r="N25"/>
  <c r="W10" i="34"/>
  <c r="AM20" i="45"/>
  <c r="AW22"/>
  <c r="BF21"/>
  <c r="BF20"/>
  <c r="W24"/>
  <c r="W22"/>
  <c r="V24"/>
  <c r="Y37" i="40"/>
  <c r="V37"/>
  <c r="W43"/>
  <c r="W44" s="1"/>
  <c r="V44"/>
  <c r="AC19"/>
  <c r="AA19"/>
  <c r="Z16"/>
  <c r="Z19" s="1"/>
  <c r="Z20" s="1"/>
  <c r="W19"/>
  <c r="W17"/>
  <c r="W18"/>
  <c r="W16"/>
  <c r="BF19"/>
  <c r="Y17"/>
  <c r="Y18"/>
  <c r="Y19"/>
  <c r="AA13"/>
  <c r="Z13"/>
  <c r="W12"/>
  <c r="W11"/>
  <c r="W13" s="1"/>
  <c r="BM52" i="22"/>
  <c r="AC35"/>
  <c r="Y158"/>
  <c r="Y159"/>
  <c r="W145"/>
  <c r="W149" s="1"/>
  <c r="W140"/>
  <c r="W141"/>
  <c r="W142"/>
  <c r="W143"/>
  <c r="W134"/>
  <c r="W135"/>
  <c r="W136"/>
  <c r="W128"/>
  <c r="W129"/>
  <c r="W130"/>
  <c r="W116"/>
  <c r="W117"/>
  <c r="W118"/>
  <c r="W113"/>
  <c r="W110"/>
  <c r="W111"/>
  <c r="W112"/>
  <c r="W107"/>
  <c r="W104"/>
  <c r="W105"/>
  <c r="W106"/>
  <c r="W101"/>
  <c r="W98"/>
  <c r="W99"/>
  <c r="W100"/>
  <c r="W95"/>
  <c r="W92"/>
  <c r="W93"/>
  <c r="W94"/>
  <c r="W88"/>
  <c r="W87"/>
  <c r="W86"/>
  <c r="W85"/>
  <c r="W83"/>
  <c r="Y80"/>
  <c r="Y81"/>
  <c r="Y82"/>
  <c r="W81"/>
  <c r="W82"/>
  <c r="W77"/>
  <c r="W74"/>
  <c r="W75"/>
  <c r="W76"/>
  <c r="W71"/>
  <c r="W68"/>
  <c r="W69"/>
  <c r="W70"/>
  <c r="W62"/>
  <c r="W63"/>
  <c r="G63" s="1"/>
  <c r="W64"/>
  <c r="W43"/>
  <c r="W44"/>
  <c r="W45"/>
  <c r="W46"/>
  <c r="W47"/>
  <c r="Y32"/>
  <c r="Y33"/>
  <c r="Y34"/>
  <c r="Y35"/>
  <c r="W32"/>
  <c r="W33"/>
  <c r="W34"/>
  <c r="W29"/>
  <c r="V41"/>
  <c r="V80"/>
  <c r="W80" s="1"/>
  <c r="V23"/>
  <c r="V35"/>
  <c r="W35" s="1"/>
  <c r="BG20" i="40"/>
  <c r="BF20"/>
  <c r="BE20"/>
  <c r="BD20"/>
  <c r="BC20"/>
  <c r="BB20"/>
  <c r="BA20"/>
  <c r="AY20"/>
  <c r="AX20"/>
  <c r="AW20"/>
  <c r="AV20"/>
  <c r="AU20"/>
  <c r="AT20"/>
  <c r="AS20"/>
  <c r="AA20"/>
  <c r="AB20"/>
  <c r="AC20"/>
  <c r="AD20"/>
  <c r="AE20"/>
  <c r="AF20"/>
  <c r="AG20"/>
  <c r="AH20"/>
  <c r="AJ20"/>
  <c r="AK20"/>
  <c r="AM20"/>
  <c r="AN20"/>
  <c r="AO20"/>
  <c r="AP20"/>
  <c r="AQ20"/>
  <c r="X20"/>
  <c r="V20"/>
  <c r="X20" i="45"/>
  <c r="Y20" s="1"/>
  <c r="V20"/>
  <c r="BO13" i="26"/>
  <c r="AQ10" i="45"/>
  <c r="AK10"/>
  <c r="AP10"/>
  <c r="AV10"/>
  <c r="AJ10"/>
  <c r="BS10"/>
  <c r="BS12"/>
  <c r="X10"/>
  <c r="Y10" s="1"/>
  <c r="V10"/>
  <c r="X17"/>
  <c r="Y17" s="1"/>
  <c r="V17"/>
  <c r="X14"/>
  <c r="Y14" s="1"/>
  <c r="Y12"/>
  <c r="BF11"/>
  <c r="F10"/>
  <c r="W27"/>
  <c r="Y29"/>
  <c r="Y27"/>
  <c r="V29"/>
  <c r="W29"/>
  <c r="I14" i="24"/>
  <c r="AH14"/>
  <c r="AK48" i="45"/>
  <c r="AZ11" i="25"/>
  <c r="AM11"/>
  <c r="AJ12" i="42"/>
  <c r="W12" i="24"/>
  <c r="T12"/>
  <c r="AP10" i="42"/>
  <c r="AJ10"/>
  <c r="I10"/>
  <c r="X10"/>
  <c r="V10"/>
  <c r="BQ10"/>
  <c r="Y15" i="35"/>
  <c r="W15"/>
  <c r="W12"/>
  <c r="BN12" s="1"/>
  <c r="W11"/>
  <c r="V119" i="22"/>
  <c r="W49"/>
  <c r="V89"/>
  <c r="W38" i="49"/>
  <c r="BG19"/>
  <c r="W19"/>
  <c r="BG18"/>
  <c r="W18"/>
  <c r="BG39"/>
  <c r="W39"/>
  <c r="BG38"/>
  <c r="BE38"/>
  <c r="BF17" i="45"/>
  <c r="BF18"/>
  <c r="O10" i="31"/>
  <c r="AL9"/>
  <c r="AM9"/>
  <c r="AN9"/>
  <c r="AP9"/>
  <c r="AQ9"/>
  <c r="AR9"/>
  <c r="AS9"/>
  <c r="AT9"/>
  <c r="AU9"/>
  <c r="AV9"/>
  <c r="AW9"/>
  <c r="AX9"/>
  <c r="AY9"/>
  <c r="AZ9"/>
  <c r="BA9"/>
  <c r="BB9"/>
  <c r="BC9"/>
  <c r="BD9"/>
  <c r="BM2" s="1"/>
  <c r="BE9"/>
  <c r="BL2" s="1"/>
  <c r="W9"/>
  <c r="Y9"/>
  <c r="BK2" s="1"/>
  <c r="Z9"/>
  <c r="Q9" s="1"/>
  <c r="AA9"/>
  <c r="AB9"/>
  <c r="AD9"/>
  <c r="U9"/>
  <c r="N10"/>
  <c r="M18"/>
  <c r="AC10"/>
  <c r="AG10"/>
  <c r="AF10"/>
  <c r="AE10"/>
  <c r="AO10"/>
  <c r="J10" s="1"/>
  <c r="AJ12"/>
  <c r="AJ9"/>
  <c r="AH34"/>
  <c r="AK34"/>
  <c r="I34" s="1"/>
  <c r="P34" s="1"/>
  <c r="AH30"/>
  <c r="AH29"/>
  <c r="AK26"/>
  <c r="AK27"/>
  <c r="AK28"/>
  <c r="AK29"/>
  <c r="I29" s="1"/>
  <c r="AK30"/>
  <c r="AK31"/>
  <c r="I31" s="1"/>
  <c r="AK32"/>
  <c r="I32" s="1"/>
  <c r="P32" s="1"/>
  <c r="AK33"/>
  <c r="AK35"/>
  <c r="AK36"/>
  <c r="AK37"/>
  <c r="AK25"/>
  <c r="U24"/>
  <c r="AG16"/>
  <c r="AC14"/>
  <c r="X11"/>
  <c r="V12"/>
  <c r="V9" s="1"/>
  <c r="V20"/>
  <c r="T15" i="24"/>
  <c r="Y22" i="26"/>
  <c r="AA22"/>
  <c r="AA15"/>
  <c r="W74" i="27"/>
  <c r="T83"/>
  <c r="T74"/>
  <c r="T80"/>
  <c r="T81"/>
  <c r="U57"/>
  <c r="U56"/>
  <c r="U12" i="33"/>
  <c r="T13"/>
  <c r="U13" s="1"/>
  <c r="E13" s="1"/>
  <c r="T12"/>
  <c r="W13" i="32"/>
  <c r="W12"/>
  <c r="U11"/>
  <c r="U10" s="1"/>
  <c r="T12"/>
  <c r="BI12"/>
  <c r="BI11"/>
  <c r="BH12"/>
  <c r="BH11"/>
  <c r="V10"/>
  <c r="W10"/>
  <c r="AM12"/>
  <c r="T13"/>
  <c r="U13" s="1"/>
  <c r="BI13" s="1"/>
  <c r="U10" i="38"/>
  <c r="BG16" i="22"/>
  <c r="BE16"/>
  <c r="BD16"/>
  <c r="BC16"/>
  <c r="BB16"/>
  <c r="BA16"/>
  <c r="AZ16"/>
  <c r="AY16"/>
  <c r="AX16"/>
  <c r="AW16"/>
  <c r="AV16"/>
  <c r="AT16"/>
  <c r="AS16"/>
  <c r="Z16"/>
  <c r="AA16"/>
  <c r="AB16"/>
  <c r="AC16"/>
  <c r="AE16"/>
  <c r="AH16"/>
  <c r="AI16"/>
  <c r="AJ16"/>
  <c r="AN16"/>
  <c r="AO16"/>
  <c r="AP16"/>
  <c r="AQ16"/>
  <c r="O59" i="40"/>
  <c r="O58"/>
  <c r="V58"/>
  <c r="W58" s="1"/>
  <c r="P43"/>
  <c r="R37"/>
  <c r="O37"/>
  <c r="M37"/>
  <c r="P37"/>
  <c r="S37"/>
  <c r="O29"/>
  <c r="O31"/>
  <c r="R29"/>
  <c r="R30"/>
  <c r="R31"/>
  <c r="BN30"/>
  <c r="BN31"/>
  <c r="O43"/>
  <c r="S21"/>
  <c r="N21" i="48"/>
  <c r="M21"/>
  <c r="X21"/>
  <c r="BF27" i="45"/>
  <c r="BF28"/>
  <c r="O34"/>
  <c r="O33"/>
  <c r="M34"/>
  <c r="M33"/>
  <c r="R27"/>
  <c r="L14"/>
  <c r="K14"/>
  <c r="O12"/>
  <c r="M12"/>
  <c r="AC21" i="40"/>
  <c r="AA21"/>
  <c r="Z21"/>
  <c r="AA21" i="48"/>
  <c r="J21" s="1"/>
  <c r="Y21"/>
  <c r="Y25" i="40"/>
  <c r="Y24"/>
  <c r="Y23"/>
  <c r="Y22"/>
  <c r="W22"/>
  <c r="W23"/>
  <c r="W24"/>
  <c r="W21"/>
  <c r="X21"/>
  <c r="Y21"/>
  <c r="BL16"/>
  <c r="BP29" i="45"/>
  <c r="R22"/>
  <c r="AV22"/>
  <c r="K22"/>
  <c r="BA22"/>
  <c r="F12"/>
  <c r="P55"/>
  <c r="O55"/>
  <c r="M55"/>
  <c r="F55"/>
  <c r="J14"/>
  <c r="L12"/>
  <c r="K12"/>
  <c r="J12"/>
  <c r="R10"/>
  <c r="BR21"/>
  <c r="D11"/>
  <c r="AA17" i="48"/>
  <c r="Y17"/>
  <c r="Y16" i="40"/>
  <c r="Y20" s="1"/>
  <c r="W20"/>
  <c r="Y31"/>
  <c r="Y30"/>
  <c r="Y29"/>
  <c r="W29"/>
  <c r="W30"/>
  <c r="W13" i="33"/>
  <c r="W12"/>
  <c r="Y11" i="35"/>
  <c r="BI11"/>
  <c r="BR38" i="45"/>
  <c r="BR37"/>
  <c r="BQ32"/>
  <c r="N15" i="31"/>
  <c r="M15"/>
  <c r="F15"/>
  <c r="Q12"/>
  <c r="O12"/>
  <c r="N12"/>
  <c r="M12"/>
  <c r="Q15"/>
  <c r="BK20"/>
  <c r="BK19"/>
  <c r="BK18"/>
  <c r="BK17"/>
  <c r="BK16"/>
  <c r="BK14"/>
  <c r="BK13"/>
  <c r="BK12"/>
  <c r="BK11"/>
  <c r="BK10"/>
  <c r="BK9"/>
  <c r="BK15"/>
  <c r="W47" i="49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J47"/>
  <c r="BK47"/>
  <c r="BM47"/>
  <c r="V47"/>
  <c r="BN46"/>
  <c r="BO46"/>
  <c r="BP46"/>
  <c r="BQ46"/>
  <c r="BR46"/>
  <c r="BS46"/>
  <c r="BI46"/>
  <c r="BL46"/>
  <c r="BT46"/>
  <c r="BI25"/>
  <c r="BL25" s="1"/>
  <c r="BI24"/>
  <c r="BI23"/>
  <c r="BI22"/>
  <c r="BI21"/>
  <c r="BI26" s="1"/>
  <c r="BL26" s="1"/>
  <c r="BI43"/>
  <c r="S36"/>
  <c r="R36"/>
  <c r="P36"/>
  <c r="O36"/>
  <c r="N36"/>
  <c r="M36"/>
  <c r="L36"/>
  <c r="K36"/>
  <c r="J36"/>
  <c r="I36"/>
  <c r="G36"/>
  <c r="S33"/>
  <c r="R33"/>
  <c r="P33"/>
  <c r="O33"/>
  <c r="N33"/>
  <c r="M33"/>
  <c r="L33"/>
  <c r="K33"/>
  <c r="J33"/>
  <c r="I33"/>
  <c r="G33"/>
  <c r="S32"/>
  <c r="R32"/>
  <c r="P32"/>
  <c r="O32"/>
  <c r="N32"/>
  <c r="M32"/>
  <c r="L32"/>
  <c r="K32"/>
  <c r="J32"/>
  <c r="I32"/>
  <c r="G32"/>
  <c r="W36"/>
  <c r="F36" s="1"/>
  <c r="H36" s="1"/>
  <c r="Q36" s="1"/>
  <c r="T36" s="1"/>
  <c r="W33"/>
  <c r="F33"/>
  <c r="H33" s="1"/>
  <c r="Q33" s="1"/>
  <c r="T33" s="1"/>
  <c r="W32"/>
  <c r="F32" s="1"/>
  <c r="H32" s="1"/>
  <c r="Q32" s="1"/>
  <c r="T32" s="1"/>
  <c r="BD11" i="25"/>
  <c r="M10" i="42"/>
  <c r="E10"/>
  <c r="AD35" i="45"/>
  <c r="AL35"/>
  <c r="BR27"/>
  <c r="BQ56"/>
  <c r="BR56"/>
  <c r="AL29" i="40"/>
  <c r="AL37"/>
  <c r="Z14"/>
  <c r="Q15" i="26"/>
  <c r="BP10" i="42"/>
  <c r="AG77" i="22"/>
  <c r="AL77"/>
  <c r="AL76"/>
  <c r="AL75"/>
  <c r="AL74"/>
  <c r="AL73"/>
  <c r="AL71"/>
  <c r="AL70"/>
  <c r="AL69"/>
  <c r="AL68"/>
  <c r="AL67"/>
  <c r="J67" s="1"/>
  <c r="AL64"/>
  <c r="AL63"/>
  <c r="AL62"/>
  <c r="AL61"/>
  <c r="AD65" s="1"/>
  <c r="AL65" s="1"/>
  <c r="AL58"/>
  <c r="AL57"/>
  <c r="AL56"/>
  <c r="AL55"/>
  <c r="AL59"/>
  <c r="AL50"/>
  <c r="AL51"/>
  <c r="AL52"/>
  <c r="AL53"/>
  <c r="BO53"/>
  <c r="AL49"/>
  <c r="AL44"/>
  <c r="AL45"/>
  <c r="AL46"/>
  <c r="AL47"/>
  <c r="AL43"/>
  <c r="AU41"/>
  <c r="AU35"/>
  <c r="AU16" s="1"/>
  <c r="BF160"/>
  <c r="BF159"/>
  <c r="BF158"/>
  <c r="BF157"/>
  <c r="BF161"/>
  <c r="S43" i="49"/>
  <c r="R43"/>
  <c r="P43"/>
  <c r="O43"/>
  <c r="N43"/>
  <c r="M43"/>
  <c r="L43"/>
  <c r="K43"/>
  <c r="J43"/>
  <c r="I43"/>
  <c r="G43"/>
  <c r="F43"/>
  <c r="H43" s="1"/>
  <c r="Q43" s="1"/>
  <c r="T43" s="1"/>
  <c r="S39"/>
  <c r="R39"/>
  <c r="P39"/>
  <c r="O39"/>
  <c r="N39"/>
  <c r="M39"/>
  <c r="L39"/>
  <c r="Q39" s="1"/>
  <c r="T39" s="1"/>
  <c r="K39"/>
  <c r="J39"/>
  <c r="I39"/>
  <c r="G39"/>
  <c r="F39"/>
  <c r="H39"/>
  <c r="S38"/>
  <c r="R38"/>
  <c r="P38"/>
  <c r="O38"/>
  <c r="N38"/>
  <c r="M38"/>
  <c r="L38"/>
  <c r="K38"/>
  <c r="J38"/>
  <c r="I38"/>
  <c r="G38"/>
  <c r="F38"/>
  <c r="H38" s="1"/>
  <c r="Q38" s="1"/>
  <c r="T38" s="1"/>
  <c r="BF42" i="22"/>
  <c r="BG13"/>
  <c r="BE13"/>
  <c r="BD13"/>
  <c r="BC13"/>
  <c r="BB13"/>
  <c r="BA13"/>
  <c r="AZ13"/>
  <c r="AY13"/>
  <c r="AX13"/>
  <c r="AW13"/>
  <c r="AV13"/>
  <c r="AU13"/>
  <c r="AT13"/>
  <c r="AS13"/>
  <c r="AQ13"/>
  <c r="AP13"/>
  <c r="AO13"/>
  <c r="AN13"/>
  <c r="AM13"/>
  <c r="X13"/>
  <c r="Z13"/>
  <c r="AA13"/>
  <c r="AB13"/>
  <c r="AC13"/>
  <c r="AE13"/>
  <c r="AH13"/>
  <c r="AI13"/>
  <c r="AJ13"/>
  <c r="AL175"/>
  <c r="AD137"/>
  <c r="AD138"/>
  <c r="AL161"/>
  <c r="AL160"/>
  <c r="AL159"/>
  <c r="AL158"/>
  <c r="AL157"/>
  <c r="AL155"/>
  <c r="AL154"/>
  <c r="AL153"/>
  <c r="AL152"/>
  <c r="AL151"/>
  <c r="AL145"/>
  <c r="AK149" s="1"/>
  <c r="AE144"/>
  <c r="AF144"/>
  <c r="AG144"/>
  <c r="AH144"/>
  <c r="AI144"/>
  <c r="AJ144"/>
  <c r="AK144"/>
  <c r="AD144"/>
  <c r="AL140"/>
  <c r="AL141"/>
  <c r="AL142"/>
  <c r="AL143"/>
  <c r="AL139"/>
  <c r="AL144"/>
  <c r="J144"/>
  <c r="AE138"/>
  <c r="AF138"/>
  <c r="AG138"/>
  <c r="AH138"/>
  <c r="AI138"/>
  <c r="AJ138"/>
  <c r="AK138"/>
  <c r="AL134"/>
  <c r="AL135"/>
  <c r="AL136"/>
  <c r="AL133"/>
  <c r="AM137"/>
  <c r="AM16" s="1"/>
  <c r="AD132"/>
  <c r="AL131"/>
  <c r="AL130"/>
  <c r="AL129"/>
  <c r="AL128"/>
  <c r="AL127"/>
  <c r="AL125"/>
  <c r="AL124"/>
  <c r="AL123"/>
  <c r="AL122"/>
  <c r="AL121"/>
  <c r="AE120"/>
  <c r="AF120"/>
  <c r="AG120"/>
  <c r="AH120"/>
  <c r="AI120"/>
  <c r="AJ120"/>
  <c r="AK120"/>
  <c r="AD120"/>
  <c r="AL119"/>
  <c r="AL118"/>
  <c r="AL117"/>
  <c r="AL116"/>
  <c r="AL115"/>
  <c r="AL120"/>
  <c r="AE114"/>
  <c r="AF114"/>
  <c r="AG114"/>
  <c r="AH114"/>
  <c r="AI114"/>
  <c r="AJ114"/>
  <c r="AK114"/>
  <c r="AD114"/>
  <c r="AL113"/>
  <c r="AL112"/>
  <c r="AL111"/>
  <c r="AL110"/>
  <c r="AL109"/>
  <c r="AL114"/>
  <c r="J114" s="1"/>
  <c r="AE108"/>
  <c r="AF108"/>
  <c r="AG108"/>
  <c r="AH108"/>
  <c r="AI108"/>
  <c r="AJ108"/>
  <c r="AK108"/>
  <c r="AD108"/>
  <c r="AL107"/>
  <c r="AL106"/>
  <c r="AL105"/>
  <c r="AL104"/>
  <c r="AL103"/>
  <c r="AL108" s="1"/>
  <c r="AE102"/>
  <c r="AF102"/>
  <c r="AG102"/>
  <c r="AH102"/>
  <c r="AI102"/>
  <c r="AJ102"/>
  <c r="AK102"/>
  <c r="AD102"/>
  <c r="AL98"/>
  <c r="AL99"/>
  <c r="AL100"/>
  <c r="AL101"/>
  <c r="AL97"/>
  <c r="AL102" s="1"/>
  <c r="J102" s="1"/>
  <c r="AL92"/>
  <c r="AL93"/>
  <c r="AL94"/>
  <c r="AL95"/>
  <c r="AL91"/>
  <c r="AE90"/>
  <c r="AF90"/>
  <c r="AG90"/>
  <c r="AH90"/>
  <c r="AI90"/>
  <c r="AJ90"/>
  <c r="AK90"/>
  <c r="AL86"/>
  <c r="AL87"/>
  <c r="AL88"/>
  <c r="AL89"/>
  <c r="AL85"/>
  <c r="AL90"/>
  <c r="AE84"/>
  <c r="AF84"/>
  <c r="AG84"/>
  <c r="AH84"/>
  <c r="AI84"/>
  <c r="AJ84"/>
  <c r="AK84"/>
  <c r="AD84"/>
  <c r="AL80"/>
  <c r="AL81"/>
  <c r="AL82"/>
  <c r="AL83"/>
  <c r="AL79"/>
  <c r="AL84"/>
  <c r="AL26"/>
  <c r="AL27"/>
  <c r="AL28"/>
  <c r="AL29"/>
  <c r="AL25"/>
  <c r="AL137"/>
  <c r="AL138"/>
  <c r="BN17"/>
  <c r="V54"/>
  <c r="X36"/>
  <c r="V36"/>
  <c r="Z42"/>
  <c r="AA42"/>
  <c r="AB42"/>
  <c r="AC42"/>
  <c r="AE42"/>
  <c r="X42"/>
  <c r="V42"/>
  <c r="Y38"/>
  <c r="Y39"/>
  <c r="Y40"/>
  <c r="Y41"/>
  <c r="W38"/>
  <c r="W39"/>
  <c r="W40"/>
  <c r="BE36"/>
  <c r="W139"/>
  <c r="W133"/>
  <c r="W137" s="1"/>
  <c r="W138" s="1"/>
  <c r="W127"/>
  <c r="W131" s="1"/>
  <c r="W132" s="1"/>
  <c r="W121"/>
  <c r="W125" s="1"/>
  <c r="W115"/>
  <c r="W119" s="1"/>
  <c r="W109"/>
  <c r="W103"/>
  <c r="W97"/>
  <c r="W91"/>
  <c r="W73"/>
  <c r="W78" s="1"/>
  <c r="W67"/>
  <c r="G67" s="1"/>
  <c r="W61"/>
  <c r="W65" s="1"/>
  <c r="W55"/>
  <c r="W59" s="1"/>
  <c r="Y37"/>
  <c r="Y42" s="1"/>
  <c r="H42" s="1"/>
  <c r="W37"/>
  <c r="W42"/>
  <c r="Y31"/>
  <c r="Y36"/>
  <c r="W31"/>
  <c r="W28"/>
  <c r="W27"/>
  <c r="W26"/>
  <c r="W25"/>
  <c r="W176"/>
  <c r="V176"/>
  <c r="W169"/>
  <c r="X169"/>
  <c r="Y169"/>
  <c r="Z169"/>
  <c r="AA169"/>
  <c r="V169"/>
  <c r="X78"/>
  <c r="Y78"/>
  <c r="V78"/>
  <c r="V72"/>
  <c r="X66"/>
  <c r="V66"/>
  <c r="V60"/>
  <c r="X54"/>
  <c r="Y54"/>
  <c r="AA54"/>
  <c r="AB54"/>
  <c r="AC54"/>
  <c r="AE54"/>
  <c r="AF54"/>
  <c r="AG54"/>
  <c r="AH54"/>
  <c r="W48"/>
  <c r="X48"/>
  <c r="Y48"/>
  <c r="V48"/>
  <c r="V24"/>
  <c r="G161"/>
  <c r="J161"/>
  <c r="K161"/>
  <c r="L161"/>
  <c r="M161"/>
  <c r="N161"/>
  <c r="O161"/>
  <c r="P161"/>
  <c r="R161"/>
  <c r="S161"/>
  <c r="BE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G162"/>
  <c r="X156"/>
  <c r="V150"/>
  <c r="W144"/>
  <c r="V144"/>
  <c r="V138"/>
  <c r="V132"/>
  <c r="V126"/>
  <c r="V120"/>
  <c r="W114"/>
  <c r="V114"/>
  <c r="W108"/>
  <c r="V108"/>
  <c r="W102"/>
  <c r="V102"/>
  <c r="W96"/>
  <c r="V96"/>
  <c r="G96" s="1"/>
  <c r="Y13"/>
  <c r="W79"/>
  <c r="X83"/>
  <c r="Y83" s="1"/>
  <c r="X84"/>
  <c r="E69" i="40"/>
  <c r="E61"/>
  <c r="E45"/>
  <c r="BF27" i="31"/>
  <c r="BF28"/>
  <c r="BF29"/>
  <c r="BG29" s="1"/>
  <c r="BF30"/>
  <c r="BG30"/>
  <c r="BF31"/>
  <c r="BF32"/>
  <c r="BG32" s="1"/>
  <c r="BF33"/>
  <c r="BG33" s="1"/>
  <c r="BF35"/>
  <c r="BF36"/>
  <c r="BG36"/>
  <c r="BF37"/>
  <c r="F27"/>
  <c r="G27"/>
  <c r="H27"/>
  <c r="J27"/>
  <c r="K27"/>
  <c r="L27"/>
  <c r="M27"/>
  <c r="N27"/>
  <c r="Q27"/>
  <c r="R27"/>
  <c r="F28"/>
  <c r="G28"/>
  <c r="H28"/>
  <c r="J28"/>
  <c r="K28"/>
  <c r="L28"/>
  <c r="M28"/>
  <c r="N28"/>
  <c r="Q28"/>
  <c r="R28"/>
  <c r="F29"/>
  <c r="G29"/>
  <c r="H29"/>
  <c r="J29"/>
  <c r="K29"/>
  <c r="L29"/>
  <c r="M29"/>
  <c r="Q29"/>
  <c r="R29"/>
  <c r="F30"/>
  <c r="G30"/>
  <c r="H30" s="1"/>
  <c r="J30"/>
  <c r="K30"/>
  <c r="L30"/>
  <c r="M30"/>
  <c r="N30"/>
  <c r="Q30"/>
  <c r="R30"/>
  <c r="F31"/>
  <c r="G31"/>
  <c r="H31" s="1"/>
  <c r="J31"/>
  <c r="K31"/>
  <c r="L31"/>
  <c r="M31"/>
  <c r="Q31"/>
  <c r="R31"/>
  <c r="F33"/>
  <c r="G33"/>
  <c r="H33"/>
  <c r="I33"/>
  <c r="J33"/>
  <c r="K33"/>
  <c r="L33"/>
  <c r="M33"/>
  <c r="N33"/>
  <c r="O33"/>
  <c r="Q33"/>
  <c r="R33"/>
  <c r="F35"/>
  <c r="G35"/>
  <c r="H35"/>
  <c r="I35"/>
  <c r="J35"/>
  <c r="K35"/>
  <c r="L35"/>
  <c r="M35"/>
  <c r="N35"/>
  <c r="O35"/>
  <c r="Q35"/>
  <c r="R35"/>
  <c r="F36"/>
  <c r="G36"/>
  <c r="H36"/>
  <c r="J36"/>
  <c r="K36"/>
  <c r="L36"/>
  <c r="M36"/>
  <c r="N36"/>
  <c r="Q36"/>
  <c r="R36"/>
  <c r="BI33"/>
  <c r="BJ33"/>
  <c r="BK33"/>
  <c r="BL33"/>
  <c r="BM33"/>
  <c r="BN33"/>
  <c r="BI34"/>
  <c r="BJ34"/>
  <c r="BK34"/>
  <c r="BL34"/>
  <c r="BM34"/>
  <c r="O12" i="47"/>
  <c r="N12"/>
  <c r="E12"/>
  <c r="E15"/>
  <c r="I22" i="26"/>
  <c r="T13"/>
  <c r="N10" i="34"/>
  <c r="V74" i="27"/>
  <c r="V88"/>
  <c r="BG88"/>
  <c r="P83"/>
  <c r="M83"/>
  <c r="K83"/>
  <c r="E38"/>
  <c r="L12" i="33"/>
  <c r="J12"/>
  <c r="I13" i="32"/>
  <c r="P12"/>
  <c r="K12"/>
  <c r="J12"/>
  <c r="I12"/>
  <c r="I11"/>
  <c r="AJ10" i="38"/>
  <c r="BM10" s="1"/>
  <c r="D24" i="31"/>
  <c r="BG35"/>
  <c r="BN35"/>
  <c r="BM35"/>
  <c r="BL35"/>
  <c r="BK35"/>
  <c r="BJ35"/>
  <c r="BI35"/>
  <c r="E176" i="22"/>
  <c r="E169"/>
  <c r="E18"/>
  <c r="E53" i="40"/>
  <c r="C11" i="27"/>
  <c r="BM10" i="31"/>
  <c r="BL10"/>
  <c r="BJ10"/>
  <c r="BI10"/>
  <c r="R10"/>
  <c r="Q10"/>
  <c r="L10"/>
  <c r="K10"/>
  <c r="G10"/>
  <c r="F10"/>
  <c r="D9"/>
  <c r="F45" i="49"/>
  <c r="G45"/>
  <c r="H45"/>
  <c r="I45"/>
  <c r="J45"/>
  <c r="K45"/>
  <c r="L45"/>
  <c r="M45"/>
  <c r="N45"/>
  <c r="O45"/>
  <c r="P45"/>
  <c r="Q45" s="1"/>
  <c r="T45" s="1"/>
  <c r="R45"/>
  <c r="S45"/>
  <c r="BI39"/>
  <c r="BI38"/>
  <c r="BL38" s="1"/>
  <c r="BI36"/>
  <c r="BI35"/>
  <c r="BI34"/>
  <c r="BI33"/>
  <c r="BI32"/>
  <c r="BL32" s="1"/>
  <c r="BI31"/>
  <c r="O47"/>
  <c r="L47"/>
  <c r="K47"/>
  <c r="G47"/>
  <c r="S47"/>
  <c r="BS45"/>
  <c r="BR45"/>
  <c r="BQ45"/>
  <c r="BP45"/>
  <c r="BO45"/>
  <c r="BN45"/>
  <c r="BI45"/>
  <c r="BL45" s="1"/>
  <c r="BS44"/>
  <c r="BR44"/>
  <c r="BQ44"/>
  <c r="BP44"/>
  <c r="BN44"/>
  <c r="BI44"/>
  <c r="BL44"/>
  <c r="S44"/>
  <c r="R44"/>
  <c r="P44"/>
  <c r="O44"/>
  <c r="N44"/>
  <c r="M44"/>
  <c r="L44"/>
  <c r="K44"/>
  <c r="J44"/>
  <c r="I44"/>
  <c r="G44"/>
  <c r="BS43"/>
  <c r="BR43"/>
  <c r="BQ43"/>
  <c r="BP43"/>
  <c r="BN43"/>
  <c r="BL43"/>
  <c r="BO43"/>
  <c r="BS42"/>
  <c r="BR42"/>
  <c r="BQ42"/>
  <c r="BP42"/>
  <c r="BN42"/>
  <c r="BT42"/>
  <c r="BI42"/>
  <c r="BL42"/>
  <c r="BO42"/>
  <c r="S42"/>
  <c r="R42"/>
  <c r="P42"/>
  <c r="O42"/>
  <c r="N42"/>
  <c r="M42"/>
  <c r="L42"/>
  <c r="K42"/>
  <c r="J42"/>
  <c r="I42"/>
  <c r="G42"/>
  <c r="F42"/>
  <c r="BS41"/>
  <c r="BS47" s="1"/>
  <c r="BR41"/>
  <c r="BR47" s="1"/>
  <c r="BQ41"/>
  <c r="BQ47" s="1"/>
  <c r="BP41"/>
  <c r="BP47" s="1"/>
  <c r="BN41"/>
  <c r="BN47" s="1"/>
  <c r="BI41"/>
  <c r="BI47" s="1"/>
  <c r="BL47" s="1"/>
  <c r="S41"/>
  <c r="R41"/>
  <c r="P41"/>
  <c r="O41"/>
  <c r="N41"/>
  <c r="M41"/>
  <c r="L41"/>
  <c r="K41"/>
  <c r="J41"/>
  <c r="I41"/>
  <c r="G41"/>
  <c r="BK40"/>
  <c r="BJ40"/>
  <c r="BH40"/>
  <c r="P40"/>
  <c r="BG40"/>
  <c r="O40"/>
  <c r="BF40"/>
  <c r="N40"/>
  <c r="BE40"/>
  <c r="M40"/>
  <c r="BD40"/>
  <c r="BC40"/>
  <c r="BB40"/>
  <c r="BA40"/>
  <c r="AZ40"/>
  <c r="L40"/>
  <c r="AY40"/>
  <c r="AX40"/>
  <c r="S40" s="1"/>
  <c r="AW40"/>
  <c r="AV40"/>
  <c r="AU40"/>
  <c r="AT40"/>
  <c r="AS40"/>
  <c r="K40" s="1"/>
  <c r="AQ40"/>
  <c r="AP40"/>
  <c r="AO40"/>
  <c r="AN40"/>
  <c r="AM40"/>
  <c r="AL40"/>
  <c r="J40"/>
  <c r="AK40"/>
  <c r="I40"/>
  <c r="AJ40"/>
  <c r="AI40"/>
  <c r="AH40"/>
  <c r="AG40"/>
  <c r="AF40"/>
  <c r="AE40"/>
  <c r="AD40"/>
  <c r="AC40"/>
  <c r="AB40"/>
  <c r="AA40"/>
  <c r="Z40"/>
  <c r="R40"/>
  <c r="Y40"/>
  <c r="X40"/>
  <c r="G40" s="1"/>
  <c r="V40"/>
  <c r="F40" s="1"/>
  <c r="H40" s="1"/>
  <c r="D40"/>
  <c r="BS39"/>
  <c r="BR39"/>
  <c r="BQ39"/>
  <c r="BP39"/>
  <c r="BN39"/>
  <c r="BL39"/>
  <c r="BS38"/>
  <c r="BS40" s="1"/>
  <c r="BR38"/>
  <c r="BR40"/>
  <c r="BQ38"/>
  <c r="BQ40" s="1"/>
  <c r="BP38"/>
  <c r="BP40" s="1"/>
  <c r="BN38"/>
  <c r="BN40" s="1"/>
  <c r="W40"/>
  <c r="BM37"/>
  <c r="BJ37"/>
  <c r="BJ49" s="1"/>
  <c r="BH37"/>
  <c r="BH49" s="1"/>
  <c r="BG37"/>
  <c r="BF37"/>
  <c r="BF49"/>
  <c r="BE37"/>
  <c r="BD37"/>
  <c r="BD49" s="1"/>
  <c r="BC37"/>
  <c r="BC49" s="1"/>
  <c r="BB37"/>
  <c r="BB49" s="1"/>
  <c r="BA37"/>
  <c r="AZ37"/>
  <c r="AZ49"/>
  <c r="AY37"/>
  <c r="AY49"/>
  <c r="AX37"/>
  <c r="AX49"/>
  <c r="AW37"/>
  <c r="AW49"/>
  <c r="AV37"/>
  <c r="AV49"/>
  <c r="AU37"/>
  <c r="AU49"/>
  <c r="AT37"/>
  <c r="AT49"/>
  <c r="AS37"/>
  <c r="AR37"/>
  <c r="AR49" s="1"/>
  <c r="AQ37"/>
  <c r="AQ49" s="1"/>
  <c r="AP37"/>
  <c r="AP49" s="1"/>
  <c r="AO37"/>
  <c r="AO49" s="1"/>
  <c r="AN37"/>
  <c r="AN49" s="1"/>
  <c r="AM37"/>
  <c r="AM49" s="1"/>
  <c r="AL37"/>
  <c r="AL49" s="1"/>
  <c r="AK37"/>
  <c r="AJ37"/>
  <c r="AJ49"/>
  <c r="AI37"/>
  <c r="AI49"/>
  <c r="AH37"/>
  <c r="AH49"/>
  <c r="AG37"/>
  <c r="AG49"/>
  <c r="AF37"/>
  <c r="AF49"/>
  <c r="AE37"/>
  <c r="AE49"/>
  <c r="AD37"/>
  <c r="AD49"/>
  <c r="AC37"/>
  <c r="AC49"/>
  <c r="AB37"/>
  <c r="AB49"/>
  <c r="AA37"/>
  <c r="AA49"/>
  <c r="Z37"/>
  <c r="Z49"/>
  <c r="Y37"/>
  <c r="X37"/>
  <c r="X49" s="1"/>
  <c r="W37"/>
  <c r="V37"/>
  <c r="V49"/>
  <c r="D37"/>
  <c r="D49"/>
  <c r="BS36"/>
  <c r="BR36"/>
  <c r="BQ36"/>
  <c r="BP36"/>
  <c r="BO36"/>
  <c r="BN36"/>
  <c r="BL36"/>
  <c r="BS35"/>
  <c r="BR35"/>
  <c r="BQ35"/>
  <c r="BP35"/>
  <c r="BO35"/>
  <c r="BN35"/>
  <c r="BT35"/>
  <c r="BL35"/>
  <c r="S35"/>
  <c r="R35"/>
  <c r="P35"/>
  <c r="O35"/>
  <c r="N35"/>
  <c r="M35"/>
  <c r="L35"/>
  <c r="K35"/>
  <c r="J35"/>
  <c r="I35"/>
  <c r="G35"/>
  <c r="F35"/>
  <c r="BS34"/>
  <c r="BR34"/>
  <c r="BQ34"/>
  <c r="BP34"/>
  <c r="BO34"/>
  <c r="BN34"/>
  <c r="BL34"/>
  <c r="S34"/>
  <c r="R34"/>
  <c r="P34"/>
  <c r="Q34" s="1"/>
  <c r="T34" s="1"/>
  <c r="O34"/>
  <c r="N34"/>
  <c r="M34"/>
  <c r="L34"/>
  <c r="K34"/>
  <c r="J34"/>
  <c r="I34"/>
  <c r="G34"/>
  <c r="F34"/>
  <c r="H34"/>
  <c r="BS33"/>
  <c r="BR33"/>
  <c r="BQ33"/>
  <c r="BP33"/>
  <c r="BO33"/>
  <c r="BN33"/>
  <c r="BL33"/>
  <c r="BS32"/>
  <c r="BR32"/>
  <c r="BQ32"/>
  <c r="BP32"/>
  <c r="BO32"/>
  <c r="BN32"/>
  <c r="BS31"/>
  <c r="BR31"/>
  <c r="BR37"/>
  <c r="BR49" s="1"/>
  <c r="BQ31"/>
  <c r="BP31"/>
  <c r="BP37" s="1"/>
  <c r="BP49" s="1"/>
  <c r="BO31"/>
  <c r="BN31"/>
  <c r="BN37" s="1"/>
  <c r="BN49" s="1"/>
  <c r="BL31"/>
  <c r="BK31"/>
  <c r="BK37" s="1"/>
  <c r="BK49" s="1"/>
  <c r="S31"/>
  <c r="R31"/>
  <c r="P31"/>
  <c r="O31"/>
  <c r="N31"/>
  <c r="M31"/>
  <c r="L31"/>
  <c r="K31"/>
  <c r="J31"/>
  <c r="I31"/>
  <c r="G31"/>
  <c r="F31"/>
  <c r="H31" s="1"/>
  <c r="F83" i="27"/>
  <c r="AN19" i="26"/>
  <c r="BT19"/>
  <c r="AF74" i="27"/>
  <c r="AI83"/>
  <c r="H83" s="1"/>
  <c r="BC76"/>
  <c r="W81"/>
  <c r="W80"/>
  <c r="U80"/>
  <c r="U72"/>
  <c r="U69"/>
  <c r="T70"/>
  <c r="U63"/>
  <c r="U51"/>
  <c r="U41"/>
  <c r="E41"/>
  <c r="U39"/>
  <c r="U33"/>
  <c r="U30"/>
  <c r="U21"/>
  <c r="U18"/>
  <c r="U17"/>
  <c r="U14"/>
  <c r="E14"/>
  <c r="U15"/>
  <c r="BK10" i="34"/>
  <c r="E10"/>
  <c r="I12" i="33"/>
  <c r="AM13"/>
  <c r="AM12"/>
  <c r="F13"/>
  <c r="E12"/>
  <c r="F12" i="32"/>
  <c r="N10" i="46"/>
  <c r="L10"/>
  <c r="E12" i="32"/>
  <c r="BN25" i="49"/>
  <c r="BO25"/>
  <c r="BP25"/>
  <c r="BQ25"/>
  <c r="BR25"/>
  <c r="BS25"/>
  <c r="BI13"/>
  <c r="BI14"/>
  <c r="BI15"/>
  <c r="BI16"/>
  <c r="BI12"/>
  <c r="X17"/>
  <c r="Y17"/>
  <c r="Y28" s="1"/>
  <c r="Z17"/>
  <c r="AA17"/>
  <c r="AA28" s="1"/>
  <c r="AB17"/>
  <c r="AC17"/>
  <c r="AD17"/>
  <c r="AE17"/>
  <c r="AF17"/>
  <c r="AG17"/>
  <c r="AG28" s="1"/>
  <c r="AH17"/>
  <c r="AI17"/>
  <c r="AI28" s="1"/>
  <c r="AJ17"/>
  <c r="AK17"/>
  <c r="AL17"/>
  <c r="AM17"/>
  <c r="AM28" s="1"/>
  <c r="AN17"/>
  <c r="AO17"/>
  <c r="AO28" s="1"/>
  <c r="AP17"/>
  <c r="AQ17"/>
  <c r="AR17"/>
  <c r="AS17"/>
  <c r="AT17"/>
  <c r="AU17"/>
  <c r="AV17"/>
  <c r="AW17"/>
  <c r="AW28" s="1"/>
  <c r="AX17"/>
  <c r="AY17"/>
  <c r="AZ17"/>
  <c r="BA17"/>
  <c r="BB17"/>
  <c r="BC17"/>
  <c r="BC28" s="1"/>
  <c r="BD17"/>
  <c r="X20"/>
  <c r="X28" s="1"/>
  <c r="Y20"/>
  <c r="Z20"/>
  <c r="AA20"/>
  <c r="AB20"/>
  <c r="AB28" s="1"/>
  <c r="AC20"/>
  <c r="AD20"/>
  <c r="AE20"/>
  <c r="AF20"/>
  <c r="AF28" s="1"/>
  <c r="AG20"/>
  <c r="AH20"/>
  <c r="AI20"/>
  <c r="AJ20"/>
  <c r="AJ28" s="1"/>
  <c r="AK20"/>
  <c r="AL20"/>
  <c r="AM20"/>
  <c r="AN20"/>
  <c r="AN28" s="1"/>
  <c r="AO20"/>
  <c r="AP20"/>
  <c r="AQ20"/>
  <c r="AS20"/>
  <c r="AT20"/>
  <c r="AU20"/>
  <c r="AV20"/>
  <c r="AW20"/>
  <c r="AX20"/>
  <c r="AY20"/>
  <c r="AZ20"/>
  <c r="BA20"/>
  <c r="BB20"/>
  <c r="BC20"/>
  <c r="BD20"/>
  <c r="BD28" s="1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Q28"/>
  <c r="AR26"/>
  <c r="AS26"/>
  <c r="AT26"/>
  <c r="AT28" s="1"/>
  <c r="AU26"/>
  <c r="AV26"/>
  <c r="AV28"/>
  <c r="AW26"/>
  <c r="AX26"/>
  <c r="AX28" s="1"/>
  <c r="AY26"/>
  <c r="AY28"/>
  <c r="AZ26"/>
  <c r="BA26"/>
  <c r="BB26"/>
  <c r="BB28"/>
  <c r="BC26"/>
  <c r="BD26"/>
  <c r="AE28"/>
  <c r="AU28"/>
  <c r="BL12"/>
  <c r="BE26"/>
  <c r="BG26"/>
  <c r="F16"/>
  <c r="M16"/>
  <c r="O16"/>
  <c r="BI18"/>
  <c r="BI19"/>
  <c r="BL19" s="1"/>
  <c r="BA28"/>
  <c r="AS28"/>
  <c r="AK28"/>
  <c r="AC28"/>
  <c r="AP28"/>
  <c r="AL28"/>
  <c r="AH28"/>
  <c r="AD28"/>
  <c r="Z28"/>
  <c r="AR28"/>
  <c r="W26"/>
  <c r="E11" i="32"/>
  <c r="R29" i="45"/>
  <c r="BL88" i="27"/>
  <c r="BO23" i="48"/>
  <c r="Q17"/>
  <c r="T17"/>
  <c r="BJ17"/>
  <c r="U23"/>
  <c r="T23"/>
  <c r="R23"/>
  <c r="Q23"/>
  <c r="P23"/>
  <c r="O23"/>
  <c r="N23"/>
  <c r="M23"/>
  <c r="L23"/>
  <c r="U21"/>
  <c r="T21"/>
  <c r="R21"/>
  <c r="Q21"/>
  <c r="P21"/>
  <c r="O21"/>
  <c r="U20"/>
  <c r="T20"/>
  <c r="R20"/>
  <c r="Q20"/>
  <c r="P20"/>
  <c r="O20"/>
  <c r="N20"/>
  <c r="M20"/>
  <c r="J20"/>
  <c r="I20"/>
  <c r="U17"/>
  <c r="R17"/>
  <c r="P17"/>
  <c r="O17"/>
  <c r="N17"/>
  <c r="M17"/>
  <c r="L17"/>
  <c r="J17"/>
  <c r="I17"/>
  <c r="J14"/>
  <c r="M14"/>
  <c r="N14"/>
  <c r="O14"/>
  <c r="P14"/>
  <c r="R14"/>
  <c r="T14"/>
  <c r="U14"/>
  <c r="R13"/>
  <c r="AJ21"/>
  <c r="BK21"/>
  <c r="BM21"/>
  <c r="BN21"/>
  <c r="R33" i="45"/>
  <c r="R31"/>
  <c r="R20"/>
  <c r="S27"/>
  <c r="P27"/>
  <c r="O27"/>
  <c r="N27"/>
  <c r="M27"/>
  <c r="L27"/>
  <c r="K27"/>
  <c r="J27"/>
  <c r="S45"/>
  <c r="R45"/>
  <c r="P45"/>
  <c r="O45"/>
  <c r="N45"/>
  <c r="M45"/>
  <c r="L45"/>
  <c r="K45"/>
  <c r="J45"/>
  <c r="G45"/>
  <c r="F45"/>
  <c r="S43"/>
  <c r="R43"/>
  <c r="P43"/>
  <c r="O43"/>
  <c r="N43"/>
  <c r="M43"/>
  <c r="L43"/>
  <c r="K43"/>
  <c r="J43"/>
  <c r="G43"/>
  <c r="F43"/>
  <c r="S41"/>
  <c r="R41"/>
  <c r="P41"/>
  <c r="O41"/>
  <c r="N41"/>
  <c r="M41"/>
  <c r="L41"/>
  <c r="K41"/>
  <c r="J41"/>
  <c r="G41"/>
  <c r="F41"/>
  <c r="H41"/>
  <c r="S39"/>
  <c r="R39"/>
  <c r="P39"/>
  <c r="O39"/>
  <c r="N39"/>
  <c r="M39"/>
  <c r="L39"/>
  <c r="K39"/>
  <c r="J39"/>
  <c r="G39"/>
  <c r="F39"/>
  <c r="S37"/>
  <c r="R37"/>
  <c r="P37"/>
  <c r="O37"/>
  <c r="N37"/>
  <c r="M37"/>
  <c r="L37"/>
  <c r="K37"/>
  <c r="J37"/>
  <c r="G37"/>
  <c r="F37"/>
  <c r="H37" s="1"/>
  <c r="S35"/>
  <c r="R35"/>
  <c r="P35"/>
  <c r="O35"/>
  <c r="N35"/>
  <c r="M35"/>
  <c r="L35"/>
  <c r="K35"/>
  <c r="J35"/>
  <c r="G35"/>
  <c r="F35"/>
  <c r="S33"/>
  <c r="P33"/>
  <c r="N33"/>
  <c r="L33"/>
  <c r="K33"/>
  <c r="J33"/>
  <c r="G33"/>
  <c r="F33"/>
  <c r="S31"/>
  <c r="P31"/>
  <c r="O31"/>
  <c r="N31"/>
  <c r="M31"/>
  <c r="L31"/>
  <c r="K31"/>
  <c r="J31"/>
  <c r="G31"/>
  <c r="F31"/>
  <c r="S29"/>
  <c r="P29"/>
  <c r="O29"/>
  <c r="N29"/>
  <c r="M29"/>
  <c r="L29"/>
  <c r="K29"/>
  <c r="J29"/>
  <c r="S24"/>
  <c r="R24"/>
  <c r="P24"/>
  <c r="O24"/>
  <c r="N24"/>
  <c r="M24"/>
  <c r="L24"/>
  <c r="J24"/>
  <c r="S22"/>
  <c r="P22"/>
  <c r="O22"/>
  <c r="N22"/>
  <c r="M22"/>
  <c r="J22"/>
  <c r="S20"/>
  <c r="P20"/>
  <c r="O20"/>
  <c r="N20"/>
  <c r="M20"/>
  <c r="L20"/>
  <c r="K20"/>
  <c r="J20"/>
  <c r="O17"/>
  <c r="P17"/>
  <c r="R17"/>
  <c r="S17"/>
  <c r="S10"/>
  <c r="P10"/>
  <c r="O10"/>
  <c r="M10"/>
  <c r="G12"/>
  <c r="AL48"/>
  <c r="AB47"/>
  <c r="BP27"/>
  <c r="AA57"/>
  <c r="AA54"/>
  <c r="AA50"/>
  <c r="AA47"/>
  <c r="AA19"/>
  <c r="AA16"/>
  <c r="AA26"/>
  <c r="BS33"/>
  <c r="BR33"/>
  <c r="BQ33"/>
  <c r="BP33"/>
  <c r="BO33"/>
  <c r="BN33"/>
  <c r="BF31" i="22"/>
  <c r="BF36" s="1"/>
  <c r="BF32"/>
  <c r="BF33"/>
  <c r="BF34"/>
  <c r="L13" i="40"/>
  <c r="M13"/>
  <c r="O13"/>
  <c r="R13"/>
  <c r="BH15"/>
  <c r="BK15" s="1"/>
  <c r="AI16"/>
  <c r="AL16" s="1"/>
  <c r="AL20" s="1"/>
  <c r="AZ16"/>
  <c r="AZ20" s="1"/>
  <c r="BO16"/>
  <c r="AL17"/>
  <c r="BP17" s="1"/>
  <c r="G18"/>
  <c r="AL18"/>
  <c r="BP18"/>
  <c r="AI19"/>
  <c r="AL19"/>
  <c r="AZ19"/>
  <c r="BL15"/>
  <c r="BM15"/>
  <c r="BN15"/>
  <c r="BO15"/>
  <c r="BP15"/>
  <c r="BL17"/>
  <c r="BN17"/>
  <c r="BO17"/>
  <c r="BL18"/>
  <c r="BN18"/>
  <c r="BO18"/>
  <c r="BO19"/>
  <c r="AL60"/>
  <c r="BM60"/>
  <c r="X61"/>
  <c r="Y61"/>
  <c r="Y76" s="1"/>
  <c r="Z61"/>
  <c r="Z76"/>
  <c r="AA61"/>
  <c r="AB61"/>
  <c r="AC61"/>
  <c r="AC76"/>
  <c r="AD61"/>
  <c r="AD76"/>
  <c r="AE61"/>
  <c r="AF61"/>
  <c r="AF76" s="1"/>
  <c r="AG61"/>
  <c r="AG76" s="1"/>
  <c r="AH61"/>
  <c r="AH76" s="1"/>
  <c r="AI61"/>
  <c r="AJ61"/>
  <c r="AJ76"/>
  <c r="AK61"/>
  <c r="AM61"/>
  <c r="AM76" s="1"/>
  <c r="AN61"/>
  <c r="AN76" s="1"/>
  <c r="AO61"/>
  <c r="AO76" s="1"/>
  <c r="AP61"/>
  <c r="AQ61"/>
  <c r="AQ76"/>
  <c r="AR61"/>
  <c r="AS61"/>
  <c r="AT61"/>
  <c r="AT76" s="1"/>
  <c r="AU61"/>
  <c r="AU76"/>
  <c r="AV61"/>
  <c r="AW61"/>
  <c r="AW76" s="1"/>
  <c r="AX61"/>
  <c r="AX76" s="1"/>
  <c r="AY61"/>
  <c r="AY76" s="1"/>
  <c r="AZ61"/>
  <c r="AZ76" s="1"/>
  <c r="BA61"/>
  <c r="BB61"/>
  <c r="BB76" s="1"/>
  <c r="BC61"/>
  <c r="BD61"/>
  <c r="BD76"/>
  <c r="BE61"/>
  <c r="BE76"/>
  <c r="N76" s="1"/>
  <c r="BF61"/>
  <c r="O61" s="1"/>
  <c r="BG61"/>
  <c r="BG76" s="1"/>
  <c r="BI61"/>
  <c r="BJ61"/>
  <c r="V61"/>
  <c r="V62" s="1"/>
  <c r="E76"/>
  <c r="H60"/>
  <c r="K60"/>
  <c r="L60"/>
  <c r="M60"/>
  <c r="N60"/>
  <c r="O60"/>
  <c r="P60"/>
  <c r="R60"/>
  <c r="S60"/>
  <c r="BN23" i="48"/>
  <c r="BM23"/>
  <c r="BK23"/>
  <c r="AA23"/>
  <c r="J23"/>
  <c r="Y23"/>
  <c r="BP37" i="40"/>
  <c r="BV37" s="1"/>
  <c r="BO37"/>
  <c r="BU37" s="1"/>
  <c r="BO38"/>
  <c r="BN37"/>
  <c r="BL37"/>
  <c r="H37"/>
  <c r="G37"/>
  <c r="N37"/>
  <c r="L37"/>
  <c r="K37"/>
  <c r="J37"/>
  <c r="BP36"/>
  <c r="BO36"/>
  <c r="BN36"/>
  <c r="BM36"/>
  <c r="BL36"/>
  <c r="BH36"/>
  <c r="BK36" s="1"/>
  <c r="S36"/>
  <c r="R36"/>
  <c r="P36"/>
  <c r="O36"/>
  <c r="N36"/>
  <c r="M36"/>
  <c r="L36"/>
  <c r="K36"/>
  <c r="J36"/>
  <c r="H36"/>
  <c r="G36"/>
  <c r="BP35"/>
  <c r="BO35"/>
  <c r="BN35"/>
  <c r="BM35"/>
  <c r="BL35"/>
  <c r="BH35"/>
  <c r="BK35" s="1"/>
  <c r="S35"/>
  <c r="R35"/>
  <c r="P35"/>
  <c r="O35"/>
  <c r="N35"/>
  <c r="M35"/>
  <c r="L35"/>
  <c r="K35"/>
  <c r="J35"/>
  <c r="H35"/>
  <c r="G35"/>
  <c r="BP34"/>
  <c r="BO34"/>
  <c r="BN34"/>
  <c r="BM34"/>
  <c r="BL34"/>
  <c r="BH34"/>
  <c r="BK34" s="1"/>
  <c r="S34"/>
  <c r="R34"/>
  <c r="P34"/>
  <c r="O34"/>
  <c r="N34"/>
  <c r="M34"/>
  <c r="L34"/>
  <c r="K34"/>
  <c r="J34"/>
  <c r="H34"/>
  <c r="G34"/>
  <c r="BO33"/>
  <c r="BN33"/>
  <c r="BM33"/>
  <c r="BL33"/>
  <c r="AL33"/>
  <c r="J33"/>
  <c r="S33"/>
  <c r="R33"/>
  <c r="P33"/>
  <c r="O33"/>
  <c r="N33"/>
  <c r="M33"/>
  <c r="L33"/>
  <c r="K33"/>
  <c r="H33"/>
  <c r="G33"/>
  <c r="Q12" i="24"/>
  <c r="P12"/>
  <c r="N12"/>
  <c r="M12"/>
  <c r="L12"/>
  <c r="K12"/>
  <c r="J12"/>
  <c r="I12"/>
  <c r="BL60" i="40"/>
  <c r="BN60"/>
  <c r="BO60"/>
  <c r="BN29"/>
  <c r="V38"/>
  <c r="BO17" i="48"/>
  <c r="BN17"/>
  <c r="BM17"/>
  <c r="BL17"/>
  <c r="BK17"/>
  <c r="P11" i="40"/>
  <c r="I21" i="48"/>
  <c r="K21" s="1"/>
  <c r="H30" i="40"/>
  <c r="P68"/>
  <c r="N68"/>
  <c r="M68"/>
  <c r="L68"/>
  <c r="K68"/>
  <c r="P67"/>
  <c r="O67"/>
  <c r="N67"/>
  <c r="M67"/>
  <c r="L67"/>
  <c r="K67"/>
  <c r="P59"/>
  <c r="N59"/>
  <c r="M59"/>
  <c r="L59"/>
  <c r="K59"/>
  <c r="N58"/>
  <c r="M58"/>
  <c r="L58"/>
  <c r="K58"/>
  <c r="P44"/>
  <c r="O44"/>
  <c r="N44"/>
  <c r="M44"/>
  <c r="L44"/>
  <c r="K44"/>
  <c r="N43"/>
  <c r="M43"/>
  <c r="L43"/>
  <c r="K43"/>
  <c r="P31"/>
  <c r="N31"/>
  <c r="M31"/>
  <c r="L31"/>
  <c r="K31"/>
  <c r="P30"/>
  <c r="N30"/>
  <c r="M30"/>
  <c r="L30"/>
  <c r="K30"/>
  <c r="P29"/>
  <c r="N29"/>
  <c r="M29"/>
  <c r="L29"/>
  <c r="K29"/>
  <c r="P25"/>
  <c r="O25"/>
  <c r="N25"/>
  <c r="L25"/>
  <c r="K25"/>
  <c r="P21"/>
  <c r="O21"/>
  <c r="N21"/>
  <c r="L21"/>
  <c r="K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P19"/>
  <c r="N19"/>
  <c r="L19"/>
  <c r="P18"/>
  <c r="O18"/>
  <c r="N18"/>
  <c r="M18"/>
  <c r="L18"/>
  <c r="K18"/>
  <c r="P17"/>
  <c r="O17"/>
  <c r="N17"/>
  <c r="M17"/>
  <c r="L17"/>
  <c r="K17"/>
  <c r="P16"/>
  <c r="N16"/>
  <c r="L16"/>
  <c r="P12"/>
  <c r="P13"/>
  <c r="AL67"/>
  <c r="J67" s="1"/>
  <c r="E77"/>
  <c r="X69"/>
  <c r="X77"/>
  <c r="Y69"/>
  <c r="Y77" s="1"/>
  <c r="Z69"/>
  <c r="AA69"/>
  <c r="AB69"/>
  <c r="AB77" s="1"/>
  <c r="AC69"/>
  <c r="AC77" s="1"/>
  <c r="AE69"/>
  <c r="AE77"/>
  <c r="AF69"/>
  <c r="AG69"/>
  <c r="AG77" s="1"/>
  <c r="AH69"/>
  <c r="AH77" s="1"/>
  <c r="AI69"/>
  <c r="AI77" s="1"/>
  <c r="AJ69"/>
  <c r="AK69"/>
  <c r="AM69"/>
  <c r="AM77" s="1"/>
  <c r="AN69"/>
  <c r="AO69"/>
  <c r="AO77"/>
  <c r="AP69"/>
  <c r="AQ69"/>
  <c r="AQ77" s="1"/>
  <c r="AS69"/>
  <c r="AS77" s="1"/>
  <c r="AT69"/>
  <c r="AT77" s="1"/>
  <c r="AU69"/>
  <c r="AU77" s="1"/>
  <c r="AV69"/>
  <c r="AW69"/>
  <c r="AW77"/>
  <c r="AX69"/>
  <c r="AY69"/>
  <c r="AZ69"/>
  <c r="BA69"/>
  <c r="BB69"/>
  <c r="BC69"/>
  <c r="BD69"/>
  <c r="BE69"/>
  <c r="BG69"/>
  <c r="BG77"/>
  <c r="S67"/>
  <c r="R67"/>
  <c r="H67"/>
  <c r="G67"/>
  <c r="BO67"/>
  <c r="BN67"/>
  <c r="BM67"/>
  <c r="BL67"/>
  <c r="R22" i="26"/>
  <c r="R13"/>
  <c r="R15"/>
  <c r="R16"/>
  <c r="R17"/>
  <c r="R19"/>
  <c r="R11"/>
  <c r="O19" i="40"/>
  <c r="M19"/>
  <c r="K19"/>
  <c r="S19"/>
  <c r="J18"/>
  <c r="H18"/>
  <c r="S18"/>
  <c r="R18"/>
  <c r="J17"/>
  <c r="H17"/>
  <c r="G17"/>
  <c r="S17"/>
  <c r="R17"/>
  <c r="O16"/>
  <c r="M16"/>
  <c r="K16"/>
  <c r="S16"/>
  <c r="S15"/>
  <c r="R15"/>
  <c r="P15"/>
  <c r="O15"/>
  <c r="N15"/>
  <c r="M15"/>
  <c r="L15"/>
  <c r="K15"/>
  <c r="J15"/>
  <c r="H15"/>
  <c r="G15"/>
  <c r="BS15" i="26"/>
  <c r="BR15"/>
  <c r="BQ15"/>
  <c r="AN15"/>
  <c r="K15"/>
  <c r="BO15"/>
  <c r="U15"/>
  <c r="T15"/>
  <c r="P15"/>
  <c r="O15"/>
  <c r="N15"/>
  <c r="M15"/>
  <c r="L15"/>
  <c r="BQ18" i="45"/>
  <c r="AL18"/>
  <c r="O18"/>
  <c r="BS17"/>
  <c r="BR17"/>
  <c r="BQ17"/>
  <c r="BP17"/>
  <c r="BN17"/>
  <c r="AL17"/>
  <c r="I17"/>
  <c r="N17"/>
  <c r="M17"/>
  <c r="L17"/>
  <c r="K17"/>
  <c r="J17"/>
  <c r="BO13" i="40"/>
  <c r="BN13"/>
  <c r="BL13"/>
  <c r="AL13"/>
  <c r="J13"/>
  <c r="S13"/>
  <c r="N13"/>
  <c r="K13"/>
  <c r="H13"/>
  <c r="BO12"/>
  <c r="BN12"/>
  <c r="BM12"/>
  <c r="BL12"/>
  <c r="AL12"/>
  <c r="J12" s="1"/>
  <c r="S12"/>
  <c r="R12"/>
  <c r="O12"/>
  <c r="N12"/>
  <c r="M12"/>
  <c r="L12"/>
  <c r="K12"/>
  <c r="H12"/>
  <c r="G12"/>
  <c r="BO11"/>
  <c r="BN11"/>
  <c r="BM11"/>
  <c r="BL11"/>
  <c r="AL11"/>
  <c r="J11"/>
  <c r="S11"/>
  <c r="R11"/>
  <c r="O11"/>
  <c r="N11"/>
  <c r="M11"/>
  <c r="L11"/>
  <c r="K11"/>
  <c r="H11"/>
  <c r="G11"/>
  <c r="BP10"/>
  <c r="BO10"/>
  <c r="BN10"/>
  <c r="BM10"/>
  <c r="BL10"/>
  <c r="BH10"/>
  <c r="BK10"/>
  <c r="S10"/>
  <c r="R10"/>
  <c r="P10"/>
  <c r="O10"/>
  <c r="N10"/>
  <c r="M10"/>
  <c r="L10"/>
  <c r="K10"/>
  <c r="J10"/>
  <c r="H10"/>
  <c r="G10"/>
  <c r="BP9"/>
  <c r="BO9"/>
  <c r="BN9"/>
  <c r="BM9"/>
  <c r="BL9"/>
  <c r="BL14" s="1"/>
  <c r="BL71" s="1"/>
  <c r="BH9"/>
  <c r="BK9"/>
  <c r="S9"/>
  <c r="R9"/>
  <c r="P9"/>
  <c r="O9"/>
  <c r="N9"/>
  <c r="M9"/>
  <c r="L9"/>
  <c r="K9"/>
  <c r="J9"/>
  <c r="H9"/>
  <c r="G9"/>
  <c r="BS13" i="26"/>
  <c r="BS25" s="1"/>
  <c r="BR13"/>
  <c r="BQ13"/>
  <c r="BQ14" s="1"/>
  <c r="BP13"/>
  <c r="AN13"/>
  <c r="U13"/>
  <c r="Q13"/>
  <c r="P13"/>
  <c r="O13"/>
  <c r="N13"/>
  <c r="M13"/>
  <c r="L13"/>
  <c r="I13"/>
  <c r="H13"/>
  <c r="J13" s="1"/>
  <c r="BS24"/>
  <c r="BR24"/>
  <c r="BQ24"/>
  <c r="BP24"/>
  <c r="BO24"/>
  <c r="AN24"/>
  <c r="BK24" s="1"/>
  <c r="BH12" i="40"/>
  <c r="BK12" s="1"/>
  <c r="O114" i="22"/>
  <c r="O72"/>
  <c r="P168"/>
  <c r="P148"/>
  <c r="P146"/>
  <c r="P46"/>
  <c r="P45"/>
  <c r="P44"/>
  <c r="P22"/>
  <c r="J173"/>
  <c r="J172"/>
  <c r="J171"/>
  <c r="J170"/>
  <c r="J148"/>
  <c r="J46"/>
  <c r="J45"/>
  <c r="J44"/>
  <c r="P23"/>
  <c r="O144"/>
  <c r="K137"/>
  <c r="O108"/>
  <c r="H98"/>
  <c r="K98"/>
  <c r="L98"/>
  <c r="M98"/>
  <c r="N98"/>
  <c r="R98"/>
  <c r="S98"/>
  <c r="H69"/>
  <c r="K69"/>
  <c r="L69"/>
  <c r="M69"/>
  <c r="N69"/>
  <c r="R69"/>
  <c r="S69"/>
  <c r="H70"/>
  <c r="K70"/>
  <c r="L70"/>
  <c r="M70"/>
  <c r="N70"/>
  <c r="R70"/>
  <c r="S70"/>
  <c r="R41"/>
  <c r="L41"/>
  <c r="K41"/>
  <c r="K37"/>
  <c r="AL30"/>
  <c r="AK41"/>
  <c r="P41"/>
  <c r="AG41"/>
  <c r="AF41"/>
  <c r="AD41" s="1"/>
  <c r="J41"/>
  <c r="AM133"/>
  <c r="AM138"/>
  <c r="AE48"/>
  <c r="AH48"/>
  <c r="AI48"/>
  <c r="AJ48"/>
  <c r="AL38"/>
  <c r="AL39"/>
  <c r="AL40"/>
  <c r="AL37"/>
  <c r="AK37"/>
  <c r="AK35"/>
  <c r="AG35"/>
  <c r="AG16"/>
  <c r="AF35"/>
  <c r="AF16"/>
  <c r="AD35"/>
  <c r="AL32"/>
  <c r="AK32" s="1"/>
  <c r="AL33"/>
  <c r="AL13"/>
  <c r="AL34"/>
  <c r="AL31"/>
  <c r="AD156"/>
  <c r="AD150"/>
  <c r="AD72"/>
  <c r="J25"/>
  <c r="P25"/>
  <c r="P26"/>
  <c r="J26"/>
  <c r="P53"/>
  <c r="J53"/>
  <c r="P29"/>
  <c r="J29"/>
  <c r="P27"/>
  <c r="J27"/>
  <c r="P59"/>
  <c r="P73"/>
  <c r="P77"/>
  <c r="P83"/>
  <c r="J83"/>
  <c r="P88"/>
  <c r="J88"/>
  <c r="J95"/>
  <c r="P95"/>
  <c r="J107"/>
  <c r="P107"/>
  <c r="P119"/>
  <c r="J119"/>
  <c r="P127"/>
  <c r="P129"/>
  <c r="P139"/>
  <c r="P141"/>
  <c r="P155"/>
  <c r="J155"/>
  <c r="AK34"/>
  <c r="P34"/>
  <c r="P175"/>
  <c r="P47"/>
  <c r="J47"/>
  <c r="P137"/>
  <c r="J137"/>
  <c r="P28"/>
  <c r="J28"/>
  <c r="P65"/>
  <c r="P71"/>
  <c r="P75"/>
  <c r="P76"/>
  <c r="J76"/>
  <c r="P86"/>
  <c r="J86"/>
  <c r="P89"/>
  <c r="J89"/>
  <c r="J101"/>
  <c r="P101"/>
  <c r="J113"/>
  <c r="P113"/>
  <c r="P117"/>
  <c r="J117"/>
  <c r="P118"/>
  <c r="J118"/>
  <c r="P121"/>
  <c r="P123"/>
  <c r="J123"/>
  <c r="P125"/>
  <c r="J125"/>
  <c r="P130"/>
  <c r="J130"/>
  <c r="P128"/>
  <c r="J128"/>
  <c r="P131"/>
  <c r="J131"/>
  <c r="P142"/>
  <c r="J142"/>
  <c r="P140"/>
  <c r="J143"/>
  <c r="P143"/>
  <c r="J145"/>
  <c r="P145"/>
  <c r="AL36"/>
  <c r="AK33"/>
  <c r="P33" s="1"/>
  <c r="J33"/>
  <c r="J35"/>
  <c r="P35"/>
  <c r="AL42"/>
  <c r="AG39"/>
  <c r="AK39"/>
  <c r="AK13"/>
  <c r="AF39"/>
  <c r="P50"/>
  <c r="P52"/>
  <c r="P56"/>
  <c r="P58"/>
  <c r="P62"/>
  <c r="P64"/>
  <c r="P68"/>
  <c r="P70"/>
  <c r="P80"/>
  <c r="P82"/>
  <c r="P87"/>
  <c r="J91"/>
  <c r="P92"/>
  <c r="J93"/>
  <c r="P94"/>
  <c r="P98"/>
  <c r="P100"/>
  <c r="J103"/>
  <c r="P104"/>
  <c r="J105"/>
  <c r="P106"/>
  <c r="P110"/>
  <c r="P112"/>
  <c r="J115"/>
  <c r="P116"/>
  <c r="P122"/>
  <c r="J124"/>
  <c r="P151"/>
  <c r="J152"/>
  <c r="P153"/>
  <c r="P157"/>
  <c r="P159"/>
  <c r="AG31"/>
  <c r="AD31" s="1"/>
  <c r="AG32"/>
  <c r="AG33"/>
  <c r="AG13" s="1"/>
  <c r="AG34"/>
  <c r="P134"/>
  <c r="AG40"/>
  <c r="AK40"/>
  <c r="AF40"/>
  <c r="AG38"/>
  <c r="AK38"/>
  <c r="P38" s="1"/>
  <c r="AF38"/>
  <c r="AD126"/>
  <c r="AF31"/>
  <c r="AK31"/>
  <c r="AF32"/>
  <c r="AF33"/>
  <c r="AF13"/>
  <c r="AF34"/>
  <c r="BF57"/>
  <c r="BF56"/>
  <c r="BF55"/>
  <c r="BM23"/>
  <c r="BM22"/>
  <c r="P31"/>
  <c r="P160"/>
  <c r="P158"/>
  <c r="P154"/>
  <c r="AD40"/>
  <c r="P40"/>
  <c r="P69"/>
  <c r="P67"/>
  <c r="P63"/>
  <c r="P61"/>
  <c r="P57"/>
  <c r="P55"/>
  <c r="P51"/>
  <c r="AD54"/>
  <c r="P49"/>
  <c r="AD39"/>
  <c r="J134"/>
  <c r="J136"/>
  <c r="J39"/>
  <c r="J34"/>
  <c r="J160"/>
  <c r="J158"/>
  <c r="J154"/>
  <c r="J141"/>
  <c r="J139"/>
  <c r="J129"/>
  <c r="J127"/>
  <c r="J122"/>
  <c r="J110"/>
  <c r="J112"/>
  <c r="J98"/>
  <c r="J100"/>
  <c r="J87"/>
  <c r="J82"/>
  <c r="J80"/>
  <c r="J73"/>
  <c r="J69"/>
  <c r="J64"/>
  <c r="J62"/>
  <c r="J57"/>
  <c r="J55"/>
  <c r="J50"/>
  <c r="J52"/>
  <c r="J70"/>
  <c r="J61"/>
  <c r="J56"/>
  <c r="J51"/>
  <c r="J49"/>
  <c r="P152"/>
  <c r="P124"/>
  <c r="P115"/>
  <c r="P111"/>
  <c r="P109"/>
  <c r="P105"/>
  <c r="P103"/>
  <c r="P99"/>
  <c r="P97"/>
  <c r="P93"/>
  <c r="P91"/>
  <c r="P85"/>
  <c r="P81"/>
  <c r="J40"/>
  <c r="J31"/>
  <c r="J159"/>
  <c r="J157"/>
  <c r="J153"/>
  <c r="J151"/>
  <c r="J116"/>
  <c r="J111"/>
  <c r="J109"/>
  <c r="J106"/>
  <c r="J104"/>
  <c r="J99"/>
  <c r="J97"/>
  <c r="J92"/>
  <c r="J94"/>
  <c r="J85"/>
  <c r="J81"/>
  <c r="J68"/>
  <c r="J63"/>
  <c r="J58"/>
  <c r="J135"/>
  <c r="J133"/>
  <c r="AD38"/>
  <c r="R38"/>
  <c r="R40"/>
  <c r="R37"/>
  <c r="Y79"/>
  <c r="H41"/>
  <c r="H37"/>
  <c r="H35"/>
  <c r="Y14" i="48"/>
  <c r="I14" s="1"/>
  <c r="K14" s="1"/>
  <c r="Y13"/>
  <c r="I13"/>
  <c r="BK101" i="22"/>
  <c r="W22"/>
  <c r="W23" s="1"/>
  <c r="G23" s="1"/>
  <c r="I23" s="1"/>
  <c r="V158"/>
  <c r="W158" s="1"/>
  <c r="V159"/>
  <c r="W159" s="1"/>
  <c r="V160"/>
  <c r="W160" s="1"/>
  <c r="V157"/>
  <c r="W157"/>
  <c r="F12" i="24"/>
  <c r="E12"/>
  <c r="BJ147" i="22"/>
  <c r="I10" i="34"/>
  <c r="F10"/>
  <c r="Q10"/>
  <c r="AI10"/>
  <c r="BE10"/>
  <c r="BF10" s="1"/>
  <c r="O10" i="42"/>
  <c r="N10"/>
  <c r="I32" i="35"/>
  <c r="G30"/>
  <c r="AI10" i="25"/>
  <c r="H10" s="1"/>
  <c r="Q10" i="46"/>
  <c r="P10"/>
  <c r="M10"/>
  <c r="K10"/>
  <c r="J10"/>
  <c r="I10"/>
  <c r="P52" i="45"/>
  <c r="P48"/>
  <c r="P14"/>
  <c r="P12"/>
  <c r="BS55"/>
  <c r="BS52"/>
  <c r="BS48"/>
  <c r="BS45"/>
  <c r="BS41"/>
  <c r="BS43"/>
  <c r="BS39"/>
  <c r="BS37"/>
  <c r="BS35"/>
  <c r="BS29"/>
  <c r="BS27"/>
  <c r="BS20"/>
  <c r="R14"/>
  <c r="F21" i="49"/>
  <c r="G21"/>
  <c r="I21"/>
  <c r="J21"/>
  <c r="K21"/>
  <c r="L21"/>
  <c r="M21"/>
  <c r="N21"/>
  <c r="P21"/>
  <c r="R21"/>
  <c r="S21"/>
  <c r="O21"/>
  <c r="BN21"/>
  <c r="BO21"/>
  <c r="BP21"/>
  <c r="BR21"/>
  <c r="BS21"/>
  <c r="D17"/>
  <c r="O11" i="47"/>
  <c r="O13"/>
  <c r="O14"/>
  <c r="O15"/>
  <c r="O10"/>
  <c r="H21" i="49"/>
  <c r="BQ21"/>
  <c r="BL21"/>
  <c r="O15" i="31"/>
  <c r="N13"/>
  <c r="M13"/>
  <c r="BN37"/>
  <c r="BN36"/>
  <c r="BN32"/>
  <c r="BN31"/>
  <c r="BN30"/>
  <c r="BN29"/>
  <c r="BN28"/>
  <c r="BN27"/>
  <c r="BN26"/>
  <c r="AG12"/>
  <c r="AG19"/>
  <c r="AG11"/>
  <c r="O11"/>
  <c r="BF26"/>
  <c r="BG26"/>
  <c r="AI15"/>
  <c r="AI12"/>
  <c r="AE11"/>
  <c r="AC19"/>
  <c r="AK20"/>
  <c r="AC11"/>
  <c r="AI11"/>
  <c r="AF12"/>
  <c r="AF13"/>
  <c r="AF14"/>
  <c r="AF15"/>
  <c r="AF17"/>
  <c r="AF19"/>
  <c r="AF11"/>
  <c r="AE12"/>
  <c r="AE13"/>
  <c r="AE14"/>
  <c r="AE15"/>
  <c r="AE16"/>
  <c r="AE17"/>
  <c r="AE19"/>
  <c r="AH12"/>
  <c r="AH9" s="1"/>
  <c r="J14"/>
  <c r="K14"/>
  <c r="L14"/>
  <c r="M14"/>
  <c r="N14"/>
  <c r="O14"/>
  <c r="Q14"/>
  <c r="R14"/>
  <c r="J13"/>
  <c r="K13"/>
  <c r="L13"/>
  <c r="Q13"/>
  <c r="R13"/>
  <c r="J12"/>
  <c r="K12"/>
  <c r="L12"/>
  <c r="R12"/>
  <c r="J16"/>
  <c r="K16"/>
  <c r="L16"/>
  <c r="M16"/>
  <c r="N16"/>
  <c r="O16"/>
  <c r="Q16"/>
  <c r="R16"/>
  <c r="J17"/>
  <c r="K17"/>
  <c r="L17"/>
  <c r="M17"/>
  <c r="N17"/>
  <c r="O17"/>
  <c r="Q17"/>
  <c r="R17"/>
  <c r="J18"/>
  <c r="K18"/>
  <c r="L18"/>
  <c r="N18"/>
  <c r="O18"/>
  <c r="Q18"/>
  <c r="R18"/>
  <c r="J19"/>
  <c r="K19"/>
  <c r="L19"/>
  <c r="M19"/>
  <c r="N19"/>
  <c r="O19"/>
  <c r="Q19"/>
  <c r="R19"/>
  <c r="J20"/>
  <c r="K20"/>
  <c r="L20"/>
  <c r="M20"/>
  <c r="N20"/>
  <c r="O20"/>
  <c r="Q20"/>
  <c r="R20"/>
  <c r="J15"/>
  <c r="K15"/>
  <c r="L15"/>
  <c r="R15"/>
  <c r="G12"/>
  <c r="X13"/>
  <c r="G13"/>
  <c r="X14"/>
  <c r="G14"/>
  <c r="X15"/>
  <c r="BJ15"/>
  <c r="X16"/>
  <c r="X17"/>
  <c r="G17" s="1"/>
  <c r="X18"/>
  <c r="X19"/>
  <c r="X20"/>
  <c r="F12"/>
  <c r="H12"/>
  <c r="F14"/>
  <c r="F17"/>
  <c r="F18"/>
  <c r="F19"/>
  <c r="F20"/>
  <c r="O59" i="22"/>
  <c r="O160"/>
  <c r="O159"/>
  <c r="O158"/>
  <c r="BF154"/>
  <c r="O154" s="1"/>
  <c r="BF153"/>
  <c r="O153"/>
  <c r="BF152"/>
  <c r="O152"/>
  <c r="BF151"/>
  <c r="BF155"/>
  <c r="BF148"/>
  <c r="O148"/>
  <c r="BF147"/>
  <c r="BF146"/>
  <c r="O146" s="1"/>
  <c r="BF145"/>
  <c r="BH145" s="1"/>
  <c r="BI145" s="1"/>
  <c r="BF142"/>
  <c r="O142"/>
  <c r="BF141"/>
  <c r="O141"/>
  <c r="BF140"/>
  <c r="O140"/>
  <c r="BF139"/>
  <c r="BF136"/>
  <c r="BF135"/>
  <c r="BF134"/>
  <c r="O134" s="1"/>
  <c r="BF133"/>
  <c r="BF137" s="1"/>
  <c r="BF130"/>
  <c r="O130" s="1"/>
  <c r="BF129"/>
  <c r="O129" s="1"/>
  <c r="BF128"/>
  <c r="O128" s="1"/>
  <c r="BF127"/>
  <c r="BF124"/>
  <c r="O124"/>
  <c r="BF123"/>
  <c r="O123"/>
  <c r="BF122"/>
  <c r="O122"/>
  <c r="BF121"/>
  <c r="BF125"/>
  <c r="BF118"/>
  <c r="O118"/>
  <c r="BF117"/>
  <c r="O117"/>
  <c r="BF116"/>
  <c r="O116"/>
  <c r="BF115"/>
  <c r="BF119"/>
  <c r="BF112"/>
  <c r="O112"/>
  <c r="BF111"/>
  <c r="O111"/>
  <c r="BF110"/>
  <c r="O110"/>
  <c r="BF109"/>
  <c r="BF113"/>
  <c r="BF106"/>
  <c r="BF105"/>
  <c r="O105" s="1"/>
  <c r="BF104"/>
  <c r="BF103"/>
  <c r="BF100"/>
  <c r="O100" s="1"/>
  <c r="BF99"/>
  <c r="O99" s="1"/>
  <c r="BF98"/>
  <c r="O98" s="1"/>
  <c r="BF97"/>
  <c r="BF94"/>
  <c r="O94"/>
  <c r="BF93"/>
  <c r="O93"/>
  <c r="BF92"/>
  <c r="O92"/>
  <c r="BF91"/>
  <c r="BF88"/>
  <c r="O88" s="1"/>
  <c r="BF87"/>
  <c r="BF86"/>
  <c r="O86"/>
  <c r="BF85"/>
  <c r="BF82"/>
  <c r="O82" s="1"/>
  <c r="BF81"/>
  <c r="BH81" s="1"/>
  <c r="BF80"/>
  <c r="O80" s="1"/>
  <c r="BF79"/>
  <c r="BF76"/>
  <c r="O76"/>
  <c r="BF75"/>
  <c r="O75"/>
  <c r="BF74"/>
  <c r="O74"/>
  <c r="BF73"/>
  <c r="BF70"/>
  <c r="O70" s="1"/>
  <c r="BF69"/>
  <c r="O69" s="1"/>
  <c r="BF68"/>
  <c r="BF67"/>
  <c r="O67" s="1"/>
  <c r="BF64"/>
  <c r="O64" s="1"/>
  <c r="BF63"/>
  <c r="O63" s="1"/>
  <c r="BF61"/>
  <c r="BF66" s="1"/>
  <c r="BF51"/>
  <c r="BM51" s="1"/>
  <c r="BF50"/>
  <c r="BM50" s="1"/>
  <c r="BF49"/>
  <c r="BF53" s="1"/>
  <c r="BM53" s="1"/>
  <c r="BF46"/>
  <c r="BF45"/>
  <c r="BF44"/>
  <c r="BF43"/>
  <c r="O37"/>
  <c r="BF28"/>
  <c r="BF14" s="1"/>
  <c r="BF27"/>
  <c r="BF26"/>
  <c r="BF25"/>
  <c r="BO39"/>
  <c r="BG15"/>
  <c r="BF15"/>
  <c r="BE15"/>
  <c r="BD15"/>
  <c r="BC15"/>
  <c r="BB15"/>
  <c r="BA15"/>
  <c r="AZ15"/>
  <c r="AY15"/>
  <c r="AX15"/>
  <c r="AW15"/>
  <c r="AV15"/>
  <c r="AU15"/>
  <c r="AT15"/>
  <c r="AS15"/>
  <c r="X15"/>
  <c r="Y15"/>
  <c r="Z15"/>
  <c r="AA15"/>
  <c r="AB15"/>
  <c r="AC15"/>
  <c r="AD15"/>
  <c r="AE15"/>
  <c r="AF15"/>
  <c r="AG15"/>
  <c r="AH15"/>
  <c r="AI15"/>
  <c r="AJ15"/>
  <c r="AK15"/>
  <c r="AM15"/>
  <c r="AN15"/>
  <c r="AO15"/>
  <c r="AP15"/>
  <c r="AQ15"/>
  <c r="V15"/>
  <c r="BG14"/>
  <c r="BE14"/>
  <c r="BD14"/>
  <c r="BC14"/>
  <c r="BB14"/>
  <c r="BA14"/>
  <c r="AZ14"/>
  <c r="AY14"/>
  <c r="AX14"/>
  <c r="AW14"/>
  <c r="AV14"/>
  <c r="AU14"/>
  <c r="AT14"/>
  <c r="AS14"/>
  <c r="AA14"/>
  <c r="AB14"/>
  <c r="AC14"/>
  <c r="AE14"/>
  <c r="AH14"/>
  <c r="AI14"/>
  <c r="AJ14"/>
  <c r="AK14"/>
  <c r="AM14"/>
  <c r="AN14"/>
  <c r="AO14"/>
  <c r="AP14"/>
  <c r="AQ14"/>
  <c r="BG12"/>
  <c r="BE12"/>
  <c r="BD12"/>
  <c r="BC12"/>
  <c r="BB12"/>
  <c r="BA12"/>
  <c r="AZ12"/>
  <c r="AY12"/>
  <c r="AX12"/>
  <c r="AW12"/>
  <c r="AV12"/>
  <c r="AU12"/>
  <c r="AT12"/>
  <c r="AS12"/>
  <c r="AA12"/>
  <c r="AB12"/>
  <c r="AC12"/>
  <c r="AE12"/>
  <c r="AF12"/>
  <c r="AH12"/>
  <c r="AI12"/>
  <c r="AJ12"/>
  <c r="AM12"/>
  <c r="AN12"/>
  <c r="AO12"/>
  <c r="AP12"/>
  <c r="AQ12"/>
  <c r="BG11"/>
  <c r="BF11"/>
  <c r="BE11"/>
  <c r="BD11"/>
  <c r="BC11"/>
  <c r="BB11"/>
  <c r="BA11"/>
  <c r="AZ11"/>
  <c r="AY11"/>
  <c r="AX11"/>
  <c r="AW11"/>
  <c r="AV11"/>
  <c r="AU11"/>
  <c r="AT11"/>
  <c r="AS11"/>
  <c r="AA11"/>
  <c r="AB11"/>
  <c r="AC11"/>
  <c r="AE11"/>
  <c r="AH11"/>
  <c r="AI11"/>
  <c r="AJ11"/>
  <c r="AM11"/>
  <c r="AN11"/>
  <c r="AO11"/>
  <c r="AP11"/>
  <c r="AQ11"/>
  <c r="BJ107"/>
  <c r="Z54"/>
  <c r="E16"/>
  <c r="E17"/>
  <c r="E15"/>
  <c r="S15"/>
  <c r="E11"/>
  <c r="BG24"/>
  <c r="P24" s="1"/>
  <c r="BE24"/>
  <c r="N24" s="1"/>
  <c r="BD24"/>
  <c r="BC24"/>
  <c r="BB24"/>
  <c r="BA24"/>
  <c r="AZ24"/>
  <c r="M24" s="1"/>
  <c r="AY24"/>
  <c r="AX24"/>
  <c r="S24"/>
  <c r="AW24"/>
  <c r="AV24"/>
  <c r="AU24"/>
  <c r="AT24"/>
  <c r="AS24"/>
  <c r="L24"/>
  <c r="AQ24"/>
  <c r="AP24"/>
  <c r="AO24"/>
  <c r="AN24"/>
  <c r="AM24"/>
  <c r="K24"/>
  <c r="AK24"/>
  <c r="AJ24"/>
  <c r="AI24"/>
  <c r="AH24"/>
  <c r="AG24"/>
  <c r="AF24"/>
  <c r="AE24"/>
  <c r="AD24"/>
  <c r="AC24"/>
  <c r="AB24"/>
  <c r="AA24"/>
  <c r="Z24"/>
  <c r="R24" s="1"/>
  <c r="Y24"/>
  <c r="X24"/>
  <c r="H24"/>
  <c r="BN23"/>
  <c r="BL23"/>
  <c r="BJ23"/>
  <c r="AL23"/>
  <c r="J23" s="1"/>
  <c r="Q23" s="1"/>
  <c r="T23" s="1"/>
  <c r="S23"/>
  <c r="R23"/>
  <c r="O23"/>
  <c r="N23"/>
  <c r="M23"/>
  <c r="L23"/>
  <c r="K23"/>
  <c r="H23"/>
  <c r="BN22"/>
  <c r="BL22"/>
  <c r="BJ22"/>
  <c r="AL22"/>
  <c r="J22"/>
  <c r="S22"/>
  <c r="R22"/>
  <c r="O22"/>
  <c r="N22"/>
  <c r="M22"/>
  <c r="L22"/>
  <c r="K22"/>
  <c r="H22"/>
  <c r="BN21"/>
  <c r="BL21"/>
  <c r="BK21"/>
  <c r="BJ21"/>
  <c r="BM21"/>
  <c r="AL21"/>
  <c r="BH21" s="1"/>
  <c r="BI21" s="1"/>
  <c r="S21"/>
  <c r="R21"/>
  <c r="P21"/>
  <c r="N21"/>
  <c r="M21"/>
  <c r="L21"/>
  <c r="K21"/>
  <c r="J21"/>
  <c r="H21"/>
  <c r="G21"/>
  <c r="BN20"/>
  <c r="BL20"/>
  <c r="BK20"/>
  <c r="BJ20"/>
  <c r="BM20"/>
  <c r="AL20"/>
  <c r="BO20" s="1"/>
  <c r="S20"/>
  <c r="R20"/>
  <c r="P20"/>
  <c r="O20"/>
  <c r="N20"/>
  <c r="M20"/>
  <c r="L20"/>
  <c r="K20"/>
  <c r="H20"/>
  <c r="G20"/>
  <c r="BN19"/>
  <c r="BL19"/>
  <c r="BK19"/>
  <c r="BJ19"/>
  <c r="BM19"/>
  <c r="AL19"/>
  <c r="AL24" s="1"/>
  <c r="S19"/>
  <c r="R19"/>
  <c r="P19"/>
  <c r="N19"/>
  <c r="M19"/>
  <c r="L19"/>
  <c r="K19"/>
  <c r="H19"/>
  <c r="G19"/>
  <c r="F24" i="45"/>
  <c r="H24" s="1"/>
  <c r="G24"/>
  <c r="G22"/>
  <c r="F22"/>
  <c r="G29"/>
  <c r="G27"/>
  <c r="F27"/>
  <c r="N10"/>
  <c r="O25" i="31"/>
  <c r="BO19" i="22"/>
  <c r="BO21"/>
  <c r="O19"/>
  <c r="O21"/>
  <c r="BF24"/>
  <c r="BE24" i="31"/>
  <c r="BD24"/>
  <c r="M24"/>
  <c r="BC24"/>
  <c r="BB24"/>
  <c r="BA24"/>
  <c r="AZ24"/>
  <c r="AY24"/>
  <c r="L24" s="1"/>
  <c r="AX24"/>
  <c r="AW24"/>
  <c r="AV24"/>
  <c r="AU24"/>
  <c r="AT24"/>
  <c r="AS24"/>
  <c r="AR24"/>
  <c r="AQ24"/>
  <c r="AP24"/>
  <c r="AO24"/>
  <c r="AN24"/>
  <c r="AM24"/>
  <c r="AL24"/>
  <c r="AI24"/>
  <c r="AG24"/>
  <c r="AE24"/>
  <c r="AD24"/>
  <c r="AB24"/>
  <c r="AA24"/>
  <c r="Z24"/>
  <c r="X24"/>
  <c r="W24"/>
  <c r="V24"/>
  <c r="F24"/>
  <c r="BM37"/>
  <c r="BL37"/>
  <c r="BK37"/>
  <c r="BJ37"/>
  <c r="BI37"/>
  <c r="BM36"/>
  <c r="BL36"/>
  <c r="BK36"/>
  <c r="BJ36"/>
  <c r="BI36"/>
  <c r="BO36" s="1"/>
  <c r="BM32"/>
  <c r="BL32"/>
  <c r="BK32"/>
  <c r="BJ32"/>
  <c r="BI32"/>
  <c r="BO32" s="1"/>
  <c r="BM31"/>
  <c r="BL31"/>
  <c r="BK31"/>
  <c r="BJ31"/>
  <c r="BO31" s="1"/>
  <c r="BI31"/>
  <c r="BM30"/>
  <c r="BL30"/>
  <c r="BK30"/>
  <c r="BJ30"/>
  <c r="BI30"/>
  <c r="BM29"/>
  <c r="BL29"/>
  <c r="BK29"/>
  <c r="BJ29"/>
  <c r="BI29"/>
  <c r="BO29"/>
  <c r="BM28"/>
  <c r="BL28"/>
  <c r="BK28"/>
  <c r="BI28"/>
  <c r="BJ28"/>
  <c r="BM27"/>
  <c r="BL27"/>
  <c r="BK27"/>
  <c r="BK24" s="1"/>
  <c r="BJ27"/>
  <c r="BI27"/>
  <c r="BM26"/>
  <c r="BL26"/>
  <c r="BK26"/>
  <c r="BJ26"/>
  <c r="BI26"/>
  <c r="BM25"/>
  <c r="BM24" s="1"/>
  <c r="BL25"/>
  <c r="BK25"/>
  <c r="BI25"/>
  <c r="BJ25"/>
  <c r="R25"/>
  <c r="Q25"/>
  <c r="N25"/>
  <c r="M25"/>
  <c r="L25"/>
  <c r="K25"/>
  <c r="J25"/>
  <c r="G25"/>
  <c r="F25"/>
  <c r="N11"/>
  <c r="BI17"/>
  <c r="BJ17"/>
  <c r="BL17"/>
  <c r="BM17"/>
  <c r="BI18"/>
  <c r="BJ18"/>
  <c r="BL18"/>
  <c r="BM18"/>
  <c r="BI19"/>
  <c r="BJ19"/>
  <c r="BL19"/>
  <c r="BM19"/>
  <c r="BI20"/>
  <c r="BJ20"/>
  <c r="BL20"/>
  <c r="BM20"/>
  <c r="BI13"/>
  <c r="BJ13"/>
  <c r="BL13"/>
  <c r="BM13"/>
  <c r="AK18"/>
  <c r="BN18"/>
  <c r="BG27"/>
  <c r="BG37"/>
  <c r="BO28"/>
  <c r="BG31"/>
  <c r="BG28"/>
  <c r="AK19"/>
  <c r="BN19"/>
  <c r="AK17"/>
  <c r="BN17" s="1"/>
  <c r="AK13"/>
  <c r="I13" s="1"/>
  <c r="BO30"/>
  <c r="N9"/>
  <c r="BM16"/>
  <c r="BL16"/>
  <c r="BJ16"/>
  <c r="BI16"/>
  <c r="BK70" i="27"/>
  <c r="BK69"/>
  <c r="BI69"/>
  <c r="BK68"/>
  <c r="BI68"/>
  <c r="BI70" s="1"/>
  <c r="BG68"/>
  <c r="BH68"/>
  <c r="BG69"/>
  <c r="V12"/>
  <c r="Y12"/>
  <c r="Z12"/>
  <c r="AA12"/>
  <c r="AB12"/>
  <c r="AC12"/>
  <c r="AD12"/>
  <c r="AE12"/>
  <c r="AG12"/>
  <c r="AH12"/>
  <c r="AJ12"/>
  <c r="AK12"/>
  <c r="AL12"/>
  <c r="AM12"/>
  <c r="AN12"/>
  <c r="AP12"/>
  <c r="AQ12"/>
  <c r="AR12"/>
  <c r="AS12"/>
  <c r="AT12"/>
  <c r="AU12"/>
  <c r="AV12"/>
  <c r="AW12"/>
  <c r="AX12"/>
  <c r="AY12"/>
  <c r="AZ12"/>
  <c r="BA12"/>
  <c r="BB12"/>
  <c r="BD12"/>
  <c r="V11"/>
  <c r="X11"/>
  <c r="Y11"/>
  <c r="Z11"/>
  <c r="AA11"/>
  <c r="AB11"/>
  <c r="AC11"/>
  <c r="AD11"/>
  <c r="AE11"/>
  <c r="AG11"/>
  <c r="AH11"/>
  <c r="AJ11"/>
  <c r="AK11"/>
  <c r="AL11"/>
  <c r="AM11"/>
  <c r="AN11"/>
  <c r="AP11"/>
  <c r="AQ11"/>
  <c r="AR11"/>
  <c r="AS11"/>
  <c r="AT11"/>
  <c r="AU11"/>
  <c r="AV11"/>
  <c r="AW11"/>
  <c r="AX11"/>
  <c r="AY11"/>
  <c r="AZ11"/>
  <c r="BA11"/>
  <c r="BB11"/>
  <c r="BD11"/>
  <c r="T11"/>
  <c r="C12"/>
  <c r="N11"/>
  <c r="Q69"/>
  <c r="P69"/>
  <c r="N69"/>
  <c r="L69"/>
  <c r="K69"/>
  <c r="J69"/>
  <c r="I69"/>
  <c r="F69"/>
  <c r="Q68"/>
  <c r="P68"/>
  <c r="N68"/>
  <c r="L68"/>
  <c r="K68"/>
  <c r="J68"/>
  <c r="I68"/>
  <c r="F68"/>
  <c r="E68"/>
  <c r="C70"/>
  <c r="BC68"/>
  <c r="BK88"/>
  <c r="BK83"/>
  <c r="BK85" s="1"/>
  <c r="BK81"/>
  <c r="BK80"/>
  <c r="BK79"/>
  <c r="BK77"/>
  <c r="BK76"/>
  <c r="BK74"/>
  <c r="BK72"/>
  <c r="BK71"/>
  <c r="BK66"/>
  <c r="BK65"/>
  <c r="BK63"/>
  <c r="BK62"/>
  <c r="BK60"/>
  <c r="BK59"/>
  <c r="BK57"/>
  <c r="BK56"/>
  <c r="BK54"/>
  <c r="BK53"/>
  <c r="BK51"/>
  <c r="BK50"/>
  <c r="BK44"/>
  <c r="BK46" s="1"/>
  <c r="BK48"/>
  <c r="BK47"/>
  <c r="BK42"/>
  <c r="BK41"/>
  <c r="BK39"/>
  <c r="BK38"/>
  <c r="BK36"/>
  <c r="BK35"/>
  <c r="BK33"/>
  <c r="BK32"/>
  <c r="BK30"/>
  <c r="BK29"/>
  <c r="BK27"/>
  <c r="BK26"/>
  <c r="BK24"/>
  <c r="BK23"/>
  <c r="BK21"/>
  <c r="BK20"/>
  <c r="BK18"/>
  <c r="BK17"/>
  <c r="BK15"/>
  <c r="BK12"/>
  <c r="BK14"/>
  <c r="BK11"/>
  <c r="BH88"/>
  <c r="W12"/>
  <c r="F12" s="1"/>
  <c r="BJ88"/>
  <c r="BI88"/>
  <c r="AI88"/>
  <c r="Q88"/>
  <c r="P88"/>
  <c r="N88"/>
  <c r="M88"/>
  <c r="L88"/>
  <c r="K88"/>
  <c r="J88"/>
  <c r="I88"/>
  <c r="F88"/>
  <c r="E88"/>
  <c r="BC46"/>
  <c r="U44"/>
  <c r="E71"/>
  <c r="U66"/>
  <c r="U65"/>
  <c r="U60"/>
  <c r="U59"/>
  <c r="U58"/>
  <c r="U54"/>
  <c r="U53"/>
  <c r="U48"/>
  <c r="U47"/>
  <c r="U36"/>
  <c r="U35"/>
  <c r="U24"/>
  <c r="U23"/>
  <c r="T16"/>
  <c r="AQ11" i="33"/>
  <c r="BI13"/>
  <c r="AP13" i="35"/>
  <c r="AP17" s="1"/>
  <c r="F10" i="46"/>
  <c r="BM10"/>
  <c r="E13" i="32"/>
  <c r="BR44" i="45"/>
  <c r="BR43"/>
  <c r="BQ44"/>
  <c r="BQ43"/>
  <c r="BQ40"/>
  <c r="BQ38"/>
  <c r="BQ37"/>
  <c r="O48"/>
  <c r="M48"/>
  <c r="F48"/>
  <c r="K10"/>
  <c r="F11" i="25"/>
  <c r="R25" i="40"/>
  <c r="G143" i="22"/>
  <c r="L134"/>
  <c r="R128"/>
  <c r="R129"/>
  <c r="R130"/>
  <c r="R131"/>
  <c r="R127"/>
  <c r="G113"/>
  <c r="H56"/>
  <c r="O55"/>
  <c r="H55"/>
  <c r="K49"/>
  <c r="L35"/>
  <c r="K35"/>
  <c r="O34"/>
  <c r="BO145"/>
  <c r="E66" i="27"/>
  <c r="E48"/>
  <c r="E33"/>
  <c r="BH30"/>
  <c r="U31"/>
  <c r="T31"/>
  <c r="BG84"/>
  <c r="BG83"/>
  <c r="BG85"/>
  <c r="BG81"/>
  <c r="BG80"/>
  <c r="BG82" s="1"/>
  <c r="BG78"/>
  <c r="BG77"/>
  <c r="BG79"/>
  <c r="BG75"/>
  <c r="BG74"/>
  <c r="BG72"/>
  <c r="BG71"/>
  <c r="BG73" s="1"/>
  <c r="BG66"/>
  <c r="BG65"/>
  <c r="BG67"/>
  <c r="BG63"/>
  <c r="BG62"/>
  <c r="BG60"/>
  <c r="BG59"/>
  <c r="BG61" s="1"/>
  <c r="BG57"/>
  <c r="BG56"/>
  <c r="BG54"/>
  <c r="BG53"/>
  <c r="BG55"/>
  <c r="BG51"/>
  <c r="BG50"/>
  <c r="BG48"/>
  <c r="BG47"/>
  <c r="BG49" s="1"/>
  <c r="BG45"/>
  <c r="BG44"/>
  <c r="BG46"/>
  <c r="BG42"/>
  <c r="BG41"/>
  <c r="BG43" s="1"/>
  <c r="BG39"/>
  <c r="BG38"/>
  <c r="BG36"/>
  <c r="BG35"/>
  <c r="BG37"/>
  <c r="BG33"/>
  <c r="BG32"/>
  <c r="BG30"/>
  <c r="BG29"/>
  <c r="BG27"/>
  <c r="BG26"/>
  <c r="BG28" s="1"/>
  <c r="BG24"/>
  <c r="BG23"/>
  <c r="BG25"/>
  <c r="BG21"/>
  <c r="BG20"/>
  <c r="BG18"/>
  <c r="BG17"/>
  <c r="BG19" s="1"/>
  <c r="BG15"/>
  <c r="BG14"/>
  <c r="T85"/>
  <c r="T82"/>
  <c r="T79"/>
  <c r="T76"/>
  <c r="T73"/>
  <c r="T67"/>
  <c r="T64"/>
  <c r="T61"/>
  <c r="T58"/>
  <c r="T55"/>
  <c r="T52"/>
  <c r="T49"/>
  <c r="T46"/>
  <c r="T43"/>
  <c r="T40"/>
  <c r="T37"/>
  <c r="T34"/>
  <c r="T28"/>
  <c r="T25"/>
  <c r="T22"/>
  <c r="T19"/>
  <c r="P10" i="38"/>
  <c r="J10"/>
  <c r="K13" i="24"/>
  <c r="L12" i="32"/>
  <c r="R10" i="34"/>
  <c r="O10"/>
  <c r="T22" i="26"/>
  <c r="Q22"/>
  <c r="N22"/>
  <c r="M22"/>
  <c r="H17"/>
  <c r="T16"/>
  <c r="Q16"/>
  <c r="H16"/>
  <c r="N13" i="47"/>
  <c r="E13"/>
  <c r="BG31" i="27"/>
  <c r="BG76"/>
  <c r="R34" i="22"/>
  <c r="H80"/>
  <c r="BJ82"/>
  <c r="H86"/>
  <c r="H87"/>
  <c r="H88"/>
  <c r="H89"/>
  <c r="O49"/>
  <c r="AB72" i="40"/>
  <c r="AB14"/>
  <c r="AB71" s="1"/>
  <c r="AB76"/>
  <c r="AB53"/>
  <c r="AB74" s="1"/>
  <c r="AB45"/>
  <c r="AB38"/>
  <c r="AB32"/>
  <c r="AB26"/>
  <c r="AB73"/>
  <c r="F11" i="31"/>
  <c r="AU24" i="45"/>
  <c r="K24"/>
  <c r="BR15"/>
  <c r="BF16"/>
  <c r="AC16"/>
  <c r="BP10"/>
  <c r="Z16"/>
  <c r="BG25" i="26"/>
  <c r="H22"/>
  <c r="U73" i="27"/>
  <c r="U37"/>
  <c r="M10" i="36"/>
  <c r="E10"/>
  <c r="L13" i="33"/>
  <c r="P13"/>
  <c r="BF26" i="49"/>
  <c r="BH26"/>
  <c r="P26" s="1"/>
  <c r="V17"/>
  <c r="BL39" i="40"/>
  <c r="BL40"/>
  <c r="BL41"/>
  <c r="BL42"/>
  <c r="BL43"/>
  <c r="BH39"/>
  <c r="BK39" s="1"/>
  <c r="BH40"/>
  <c r="BH41"/>
  <c r="BK41"/>
  <c r="BH42"/>
  <c r="AL43"/>
  <c r="BP43" s="1"/>
  <c r="O58" i="22"/>
  <c r="H58"/>
  <c r="O56"/>
  <c r="BF17"/>
  <c r="N35"/>
  <c r="BE17"/>
  <c r="N17"/>
  <c r="AS17"/>
  <c r="AT17"/>
  <c r="AU17"/>
  <c r="AV17"/>
  <c r="AW17"/>
  <c r="AM17"/>
  <c r="AN17"/>
  <c r="AO17"/>
  <c r="AP17"/>
  <c r="AQ17"/>
  <c r="X157"/>
  <c r="X160"/>
  <c r="Y160" s="1"/>
  <c r="Y14" s="1"/>
  <c r="X161"/>
  <c r="Y161" s="1"/>
  <c r="X162"/>
  <c r="X17"/>
  <c r="Y157"/>
  <c r="Y162" s="1"/>
  <c r="Y17"/>
  <c r="E14"/>
  <c r="E12"/>
  <c r="K12" s="1"/>
  <c r="BO67"/>
  <c r="AL163"/>
  <c r="O167"/>
  <c r="H160"/>
  <c r="O145"/>
  <c r="K145"/>
  <c r="R134"/>
  <c r="K134"/>
  <c r="K129"/>
  <c r="H129"/>
  <c r="O126"/>
  <c r="O97"/>
  <c r="O91"/>
  <c r="X60"/>
  <c r="Y60"/>
  <c r="Z60"/>
  <c r="AB60"/>
  <c r="AC60"/>
  <c r="AM60"/>
  <c r="AN60"/>
  <c r="AO60"/>
  <c r="AP60"/>
  <c r="AS60"/>
  <c r="AT60"/>
  <c r="AU60"/>
  <c r="AV60"/>
  <c r="AW60"/>
  <c r="AX60"/>
  <c r="AY60"/>
  <c r="AZ60"/>
  <c r="BA60"/>
  <c r="M60" s="1"/>
  <c r="BB60"/>
  <c r="BC60"/>
  <c r="BD60"/>
  <c r="BE60"/>
  <c r="BG60"/>
  <c r="AQ60"/>
  <c r="AA60"/>
  <c r="R60" s="1"/>
  <c r="G59"/>
  <c r="AM42"/>
  <c r="AN42"/>
  <c r="AO42"/>
  <c r="AP42"/>
  <c r="AQ42"/>
  <c r="H40"/>
  <c r="O39"/>
  <c r="K39"/>
  <c r="H39"/>
  <c r="K32"/>
  <c r="R31"/>
  <c r="K31"/>
  <c r="BK41"/>
  <c r="BJ41"/>
  <c r="BJ38"/>
  <c r="BJ40"/>
  <c r="BJ13" i="32"/>
  <c r="AJ13"/>
  <c r="H13" s="1"/>
  <c r="BK13"/>
  <c r="BJ12"/>
  <c r="AJ12"/>
  <c r="BK12" s="1"/>
  <c r="BL12" s="1"/>
  <c r="BJ11"/>
  <c r="AJ11"/>
  <c r="H11" s="1"/>
  <c r="BK11"/>
  <c r="W17" i="49"/>
  <c r="BE17"/>
  <c r="M17" s="1"/>
  <c r="BF17"/>
  <c r="BG17"/>
  <c r="BH17"/>
  <c r="BQ16"/>
  <c r="BQ12"/>
  <c r="BQ13"/>
  <c r="BQ15"/>
  <c r="BJ17"/>
  <c r="BO12"/>
  <c r="BO13"/>
  <c r="BO16"/>
  <c r="BO15"/>
  <c r="BR12"/>
  <c r="BR13"/>
  <c r="BR16"/>
  <c r="BR15"/>
  <c r="BN12"/>
  <c r="BN13"/>
  <c r="BN16"/>
  <c r="BN15"/>
  <c r="D16" i="45"/>
  <c r="V17" i="22"/>
  <c r="F13" i="24"/>
  <c r="I13"/>
  <c r="J13"/>
  <c r="BG14" i="48"/>
  <c r="Q14" s="1"/>
  <c r="P58" i="40"/>
  <c r="AD69"/>
  <c r="AD77"/>
  <c r="O68"/>
  <c r="W69"/>
  <c r="W77" s="1"/>
  <c r="V69"/>
  <c r="R10" i="42"/>
  <c r="Q10"/>
  <c r="L10"/>
  <c r="K10"/>
  <c r="J10"/>
  <c r="N13" i="32"/>
  <c r="M13"/>
  <c r="L13"/>
  <c r="K13"/>
  <c r="J13"/>
  <c r="F13"/>
  <c r="P13"/>
  <c r="Q13"/>
  <c r="N12"/>
  <c r="M12"/>
  <c r="Q12"/>
  <c r="N11"/>
  <c r="M11"/>
  <c r="L11"/>
  <c r="K11"/>
  <c r="J11"/>
  <c r="F11"/>
  <c r="P11"/>
  <c r="Q11"/>
  <c r="BR55" i="45"/>
  <c r="BR57"/>
  <c r="AL52"/>
  <c r="I52"/>
  <c r="BQ53"/>
  <c r="R35" i="22"/>
  <c r="BG13" i="48"/>
  <c r="Q13"/>
  <c r="P13" i="24"/>
  <c r="P90" i="22"/>
  <c r="X90"/>
  <c r="Y90"/>
  <c r="H90" s="1"/>
  <c r="BO74"/>
  <c r="BO76"/>
  <c r="BG114"/>
  <c r="BG102"/>
  <c r="BO98"/>
  <c r="BO101"/>
  <c r="P102"/>
  <c r="AI54"/>
  <c r="AJ54"/>
  <c r="AK54"/>
  <c r="P54"/>
  <c r="BQ39" i="45"/>
  <c r="AL39"/>
  <c r="I39" s="1"/>
  <c r="BN11" i="49"/>
  <c r="BO11"/>
  <c r="BP11"/>
  <c r="BQ11"/>
  <c r="BS11"/>
  <c r="BR11"/>
  <c r="BP12"/>
  <c r="BS12"/>
  <c r="BP13"/>
  <c r="BS13"/>
  <c r="BN14"/>
  <c r="BO14"/>
  <c r="BP14"/>
  <c r="BQ14"/>
  <c r="BS14"/>
  <c r="BR14"/>
  <c r="BP15"/>
  <c r="BS15"/>
  <c r="BP16"/>
  <c r="BS16"/>
  <c r="BP18"/>
  <c r="BQ18"/>
  <c r="BS18"/>
  <c r="BR18"/>
  <c r="BP19"/>
  <c r="BQ19"/>
  <c r="BS19"/>
  <c r="BR19"/>
  <c r="BR20"/>
  <c r="BN22"/>
  <c r="BO22"/>
  <c r="BP22"/>
  <c r="BQ22"/>
  <c r="BS22"/>
  <c r="BR22"/>
  <c r="BN23"/>
  <c r="BO23"/>
  <c r="BP23"/>
  <c r="BQ23"/>
  <c r="BS23"/>
  <c r="BR23"/>
  <c r="BN24"/>
  <c r="BO24"/>
  <c r="BP24"/>
  <c r="BQ24"/>
  <c r="BS24"/>
  <c r="BR24"/>
  <c r="BE20"/>
  <c r="BF20"/>
  <c r="BF28"/>
  <c r="BG20"/>
  <c r="BH20"/>
  <c r="F17"/>
  <c r="D20"/>
  <c r="L20" s="1"/>
  <c r="BJ26"/>
  <c r="BL24"/>
  <c r="P24"/>
  <c r="O24"/>
  <c r="M24"/>
  <c r="L24"/>
  <c r="K24"/>
  <c r="J24"/>
  <c r="I24"/>
  <c r="F24"/>
  <c r="G24"/>
  <c r="N24"/>
  <c r="R24"/>
  <c r="S24"/>
  <c r="BL23"/>
  <c r="P23"/>
  <c r="O23"/>
  <c r="M23"/>
  <c r="K23"/>
  <c r="J23"/>
  <c r="I23"/>
  <c r="F23"/>
  <c r="G23"/>
  <c r="N23"/>
  <c r="R23"/>
  <c r="S23"/>
  <c r="BL22"/>
  <c r="P22"/>
  <c r="O22"/>
  <c r="M22"/>
  <c r="L22"/>
  <c r="K22"/>
  <c r="J22"/>
  <c r="I22"/>
  <c r="F22"/>
  <c r="H22" s="1"/>
  <c r="G22"/>
  <c r="N22"/>
  <c r="R22"/>
  <c r="S22"/>
  <c r="BK20"/>
  <c r="BJ20"/>
  <c r="BJ28" s="1"/>
  <c r="K20"/>
  <c r="I20"/>
  <c r="N20"/>
  <c r="S20"/>
  <c r="P19"/>
  <c r="O19"/>
  <c r="M19"/>
  <c r="L19"/>
  <c r="K19"/>
  <c r="J19"/>
  <c r="I19"/>
  <c r="G19"/>
  <c r="N19"/>
  <c r="R19"/>
  <c r="S19"/>
  <c r="P18"/>
  <c r="O18"/>
  <c r="M18"/>
  <c r="L18"/>
  <c r="K18"/>
  <c r="J18"/>
  <c r="I18"/>
  <c r="G18"/>
  <c r="N18"/>
  <c r="R18"/>
  <c r="S18"/>
  <c r="BM17"/>
  <c r="BK11"/>
  <c r="BK17" s="1"/>
  <c r="P17"/>
  <c r="L17"/>
  <c r="K17"/>
  <c r="J17"/>
  <c r="I17"/>
  <c r="G17"/>
  <c r="N17"/>
  <c r="R17"/>
  <c r="S17"/>
  <c r="BL16"/>
  <c r="P16"/>
  <c r="L16"/>
  <c r="K16"/>
  <c r="J16"/>
  <c r="I16"/>
  <c r="G16"/>
  <c r="H16" s="1"/>
  <c r="Q16" s="1"/>
  <c r="T16" s="1"/>
  <c r="N16"/>
  <c r="R16"/>
  <c r="S16"/>
  <c r="BL15"/>
  <c r="P15"/>
  <c r="O15"/>
  <c r="M15"/>
  <c r="L15"/>
  <c r="K15"/>
  <c r="J15"/>
  <c r="I15"/>
  <c r="F15"/>
  <c r="G15"/>
  <c r="N15"/>
  <c r="R15"/>
  <c r="S15"/>
  <c r="BL14"/>
  <c r="P14"/>
  <c r="O14"/>
  <c r="M14"/>
  <c r="L14"/>
  <c r="K14"/>
  <c r="J14"/>
  <c r="I14"/>
  <c r="F14"/>
  <c r="G14"/>
  <c r="N14"/>
  <c r="R14"/>
  <c r="S14"/>
  <c r="BL13"/>
  <c r="P13"/>
  <c r="O13"/>
  <c r="M13"/>
  <c r="L13"/>
  <c r="K13"/>
  <c r="J13"/>
  <c r="I13"/>
  <c r="F13"/>
  <c r="G13"/>
  <c r="H13" s="1"/>
  <c r="Q13" s="1"/>
  <c r="T13" s="1"/>
  <c r="N13"/>
  <c r="R13"/>
  <c r="S13"/>
  <c r="P12"/>
  <c r="O12"/>
  <c r="M12"/>
  <c r="L12"/>
  <c r="K12"/>
  <c r="J12"/>
  <c r="I12"/>
  <c r="F12"/>
  <c r="G12"/>
  <c r="N12"/>
  <c r="R12"/>
  <c r="S12"/>
  <c r="BL11"/>
  <c r="P11"/>
  <c r="O11"/>
  <c r="M11"/>
  <c r="L11"/>
  <c r="K11"/>
  <c r="J11"/>
  <c r="I11"/>
  <c r="F11"/>
  <c r="G11"/>
  <c r="H11" s="1"/>
  <c r="Q11" s="1"/>
  <c r="T11" s="1"/>
  <c r="N11"/>
  <c r="R11"/>
  <c r="S11"/>
  <c r="C31" i="27"/>
  <c r="AF29"/>
  <c r="C73"/>
  <c r="AF71" s="1"/>
  <c r="AF72" s="1"/>
  <c r="BH14"/>
  <c r="U19"/>
  <c r="U22"/>
  <c r="U25"/>
  <c r="U28"/>
  <c r="U34"/>
  <c r="U40"/>
  <c r="U43"/>
  <c r="U46"/>
  <c r="U49"/>
  <c r="U55"/>
  <c r="U61"/>
  <c r="U64"/>
  <c r="U67"/>
  <c r="U76"/>
  <c r="U79"/>
  <c r="W16"/>
  <c r="W19"/>
  <c r="W22"/>
  <c r="W25"/>
  <c r="W28"/>
  <c r="W31"/>
  <c r="W34"/>
  <c r="W37"/>
  <c r="W40"/>
  <c r="W43"/>
  <c r="W46"/>
  <c r="W49"/>
  <c r="W52"/>
  <c r="W55"/>
  <c r="W58"/>
  <c r="W61"/>
  <c r="W64"/>
  <c r="W67"/>
  <c r="W73"/>
  <c r="W76"/>
  <c r="W79"/>
  <c r="W85"/>
  <c r="V16"/>
  <c r="V19"/>
  <c r="V22"/>
  <c r="V25"/>
  <c r="V28"/>
  <c r="V31"/>
  <c r="V34"/>
  <c r="V37"/>
  <c r="V40"/>
  <c r="V43"/>
  <c r="V46"/>
  <c r="V49"/>
  <c r="V52"/>
  <c r="V55"/>
  <c r="V58"/>
  <c r="V61"/>
  <c r="V64"/>
  <c r="V67"/>
  <c r="V73"/>
  <c r="V76"/>
  <c r="V79"/>
  <c r="V82"/>
  <c r="V85"/>
  <c r="X16"/>
  <c r="X19"/>
  <c r="X22"/>
  <c r="X25"/>
  <c r="X28"/>
  <c r="X31"/>
  <c r="X34"/>
  <c r="X37"/>
  <c r="X40"/>
  <c r="X43"/>
  <c r="X46"/>
  <c r="X49"/>
  <c r="X52"/>
  <c r="X55"/>
  <c r="X58"/>
  <c r="X61"/>
  <c r="X64"/>
  <c r="X67"/>
  <c r="X73"/>
  <c r="X76"/>
  <c r="X79"/>
  <c r="Y16"/>
  <c r="Y19"/>
  <c r="Y22"/>
  <c r="Y25"/>
  <c r="Y28"/>
  <c r="Y31"/>
  <c r="Y34"/>
  <c r="Y37"/>
  <c r="Y40"/>
  <c r="Y43"/>
  <c r="Y46"/>
  <c r="Y49"/>
  <c r="Y52"/>
  <c r="Y55"/>
  <c r="Y58"/>
  <c r="Y61"/>
  <c r="Y64"/>
  <c r="Y67"/>
  <c r="Y73"/>
  <c r="Y76"/>
  <c r="Y79"/>
  <c r="Y82"/>
  <c r="Y13"/>
  <c r="Z16"/>
  <c r="Z19"/>
  <c r="Z22"/>
  <c r="Z25"/>
  <c r="Z28"/>
  <c r="Z31"/>
  <c r="Z34"/>
  <c r="Z37"/>
  <c r="Z40"/>
  <c r="Z43"/>
  <c r="Z46"/>
  <c r="Z49"/>
  <c r="Z52"/>
  <c r="Z55"/>
  <c r="Z58"/>
  <c r="Z61"/>
  <c r="Z64"/>
  <c r="Z67"/>
  <c r="Z73"/>
  <c r="Z76"/>
  <c r="Z79"/>
  <c r="Z82"/>
  <c r="Z85"/>
  <c r="Z13"/>
  <c r="BC79"/>
  <c r="BC13"/>
  <c r="BC85"/>
  <c r="AA16"/>
  <c r="AA13" s="1"/>
  <c r="AA19"/>
  <c r="AA22"/>
  <c r="AA25"/>
  <c r="AA28"/>
  <c r="AA31"/>
  <c r="AA34"/>
  <c r="AA37"/>
  <c r="AA40"/>
  <c r="AA43"/>
  <c r="AA46"/>
  <c r="AA49"/>
  <c r="AA52"/>
  <c r="AA55"/>
  <c r="AA58"/>
  <c r="AA61"/>
  <c r="AA64"/>
  <c r="AA67"/>
  <c r="AA73"/>
  <c r="AA76"/>
  <c r="AA79"/>
  <c r="AA82"/>
  <c r="AA85"/>
  <c r="AB16"/>
  <c r="AB19"/>
  <c r="AB22"/>
  <c r="AB25"/>
  <c r="AB28"/>
  <c r="AB31"/>
  <c r="AB34"/>
  <c r="AB37"/>
  <c r="AB40"/>
  <c r="AB43"/>
  <c r="AB46"/>
  <c r="AB49"/>
  <c r="AB52"/>
  <c r="AB55"/>
  <c r="AB58"/>
  <c r="AB61"/>
  <c r="AB64"/>
  <c r="AB67"/>
  <c r="AB73"/>
  <c r="AB76"/>
  <c r="AB79"/>
  <c r="AB82"/>
  <c r="AB13"/>
  <c r="AB85"/>
  <c r="AC16"/>
  <c r="AC13" s="1"/>
  <c r="AC19"/>
  <c r="AC22"/>
  <c r="AC25"/>
  <c r="AC28"/>
  <c r="AC31"/>
  <c r="AC34"/>
  <c r="AC37"/>
  <c r="AC40"/>
  <c r="AC43"/>
  <c r="AC46"/>
  <c r="AC49"/>
  <c r="AC52"/>
  <c r="AC55"/>
  <c r="AC58"/>
  <c r="AC61"/>
  <c r="AC64"/>
  <c r="AC67"/>
  <c r="AC73"/>
  <c r="AC76"/>
  <c r="AC79"/>
  <c r="AC82"/>
  <c r="AC85"/>
  <c r="AD16"/>
  <c r="AD13" s="1"/>
  <c r="AD19"/>
  <c r="AD22"/>
  <c r="AD25"/>
  <c r="AD28"/>
  <c r="AD31"/>
  <c r="AD34"/>
  <c r="AD37"/>
  <c r="AD40"/>
  <c r="AD43"/>
  <c r="AD46"/>
  <c r="AD49"/>
  <c r="AD52"/>
  <c r="AD55"/>
  <c r="AD58"/>
  <c r="AD61"/>
  <c r="AD64"/>
  <c r="AD67"/>
  <c r="AD73"/>
  <c r="AD76"/>
  <c r="AD79"/>
  <c r="AD82"/>
  <c r="AD85"/>
  <c r="AE16"/>
  <c r="AE13" s="1"/>
  <c r="AE19"/>
  <c r="AE22"/>
  <c r="AE25"/>
  <c r="AE28"/>
  <c r="AE31"/>
  <c r="AE34"/>
  <c r="AE37"/>
  <c r="AE40"/>
  <c r="AE43"/>
  <c r="AE46"/>
  <c r="AE49"/>
  <c r="AE52"/>
  <c r="AE55"/>
  <c r="AE58"/>
  <c r="AE61"/>
  <c r="AE64"/>
  <c r="AE67"/>
  <c r="AE73"/>
  <c r="AE76"/>
  <c r="AE79"/>
  <c r="AE82"/>
  <c r="AE85"/>
  <c r="AF76"/>
  <c r="AF79"/>
  <c r="AF85"/>
  <c r="AG16"/>
  <c r="AG19"/>
  <c r="AG22"/>
  <c r="AG13" s="1"/>
  <c r="AG25"/>
  <c r="AG28"/>
  <c r="AG31"/>
  <c r="AG34"/>
  <c r="AG37"/>
  <c r="AG40"/>
  <c r="AG43"/>
  <c r="AG46"/>
  <c r="AG49"/>
  <c r="AG52"/>
  <c r="AG55"/>
  <c r="AG58"/>
  <c r="AG61"/>
  <c r="AG64"/>
  <c r="AG67"/>
  <c r="AG73"/>
  <c r="AG76"/>
  <c r="AG79"/>
  <c r="AG82"/>
  <c r="AG85"/>
  <c r="AH16"/>
  <c r="AH19"/>
  <c r="AH22"/>
  <c r="AH13" s="1"/>
  <c r="AH25"/>
  <c r="AH28"/>
  <c r="AH31"/>
  <c r="AH34"/>
  <c r="AH37"/>
  <c r="AH40"/>
  <c r="AH43"/>
  <c r="AH46"/>
  <c r="AH49"/>
  <c r="AH52"/>
  <c r="AH55"/>
  <c r="AH58"/>
  <c r="AH61"/>
  <c r="AH64"/>
  <c r="AH67"/>
  <c r="AH73"/>
  <c r="AH76"/>
  <c r="AH79"/>
  <c r="AH82"/>
  <c r="AH85"/>
  <c r="AJ16"/>
  <c r="AJ19"/>
  <c r="AJ22"/>
  <c r="AJ13" s="1"/>
  <c r="AJ25"/>
  <c r="AJ28"/>
  <c r="AJ31"/>
  <c r="AJ34"/>
  <c r="AJ37"/>
  <c r="AJ40"/>
  <c r="AJ43"/>
  <c r="AJ46"/>
  <c r="AJ49"/>
  <c r="AJ52"/>
  <c r="AJ55"/>
  <c r="AJ58"/>
  <c r="AJ61"/>
  <c r="AJ64"/>
  <c r="AJ67"/>
  <c r="AJ73"/>
  <c r="AJ76"/>
  <c r="AJ79"/>
  <c r="AJ82"/>
  <c r="AJ85"/>
  <c r="AK16"/>
  <c r="AK19"/>
  <c r="AK22"/>
  <c r="AK13" s="1"/>
  <c r="AK25"/>
  <c r="AK28"/>
  <c r="AK31"/>
  <c r="AK34"/>
  <c r="AK37"/>
  <c r="AK40"/>
  <c r="AK43"/>
  <c r="AK46"/>
  <c r="AK49"/>
  <c r="AK52"/>
  <c r="AK55"/>
  <c r="AK58"/>
  <c r="AK61"/>
  <c r="AK64"/>
  <c r="AK67"/>
  <c r="AK73"/>
  <c r="AK76"/>
  <c r="AK79"/>
  <c r="AK82"/>
  <c r="AK85"/>
  <c r="AL16"/>
  <c r="AL19"/>
  <c r="AL22"/>
  <c r="AL13" s="1"/>
  <c r="AL25"/>
  <c r="AL28"/>
  <c r="AL31"/>
  <c r="AL34"/>
  <c r="AL37"/>
  <c r="AL40"/>
  <c r="AL43"/>
  <c r="AL46"/>
  <c r="AL49"/>
  <c r="AL52"/>
  <c r="AL55"/>
  <c r="AL58"/>
  <c r="AL61"/>
  <c r="AL64"/>
  <c r="AL67"/>
  <c r="AL73"/>
  <c r="AL76"/>
  <c r="AL79"/>
  <c r="AL82"/>
  <c r="AL85"/>
  <c r="AM16"/>
  <c r="AM19"/>
  <c r="AM22"/>
  <c r="AM13" s="1"/>
  <c r="AM25"/>
  <c r="AM28"/>
  <c r="AM31"/>
  <c r="AM34"/>
  <c r="AM37"/>
  <c r="AM40"/>
  <c r="AM43"/>
  <c r="AM46"/>
  <c r="AM49"/>
  <c r="AM52"/>
  <c r="AM55"/>
  <c r="AM58"/>
  <c r="AM61"/>
  <c r="AM64"/>
  <c r="AM67"/>
  <c r="AM73"/>
  <c r="AM76"/>
  <c r="AM79"/>
  <c r="AM82"/>
  <c r="AM85"/>
  <c r="AN16"/>
  <c r="AN19"/>
  <c r="AN22"/>
  <c r="AN13" s="1"/>
  <c r="AN25"/>
  <c r="AN28"/>
  <c r="AN31"/>
  <c r="AN34"/>
  <c r="AN37"/>
  <c r="AN40"/>
  <c r="AN43"/>
  <c r="AN46"/>
  <c r="AN49"/>
  <c r="AN52"/>
  <c r="AN55"/>
  <c r="AN58"/>
  <c r="AN61"/>
  <c r="AN64"/>
  <c r="AN67"/>
  <c r="AN73"/>
  <c r="AN76"/>
  <c r="AN79"/>
  <c r="AN82"/>
  <c r="AN85"/>
  <c r="AP16"/>
  <c r="AP19"/>
  <c r="AP22"/>
  <c r="AP13" s="1"/>
  <c r="AP25"/>
  <c r="AP28"/>
  <c r="AP31"/>
  <c r="AP34"/>
  <c r="AP37"/>
  <c r="AP40"/>
  <c r="AP43"/>
  <c r="AP46"/>
  <c r="AP49"/>
  <c r="AP52"/>
  <c r="AP55"/>
  <c r="AP58"/>
  <c r="AP61"/>
  <c r="AP64"/>
  <c r="AP67"/>
  <c r="AP73"/>
  <c r="AP76"/>
  <c r="AP79"/>
  <c r="AP82"/>
  <c r="AP85"/>
  <c r="AQ16"/>
  <c r="AQ19"/>
  <c r="AQ22"/>
  <c r="AQ13" s="1"/>
  <c r="AQ25"/>
  <c r="AQ28"/>
  <c r="AQ31"/>
  <c r="AQ34"/>
  <c r="AQ37"/>
  <c r="AQ40"/>
  <c r="AQ43"/>
  <c r="AQ46"/>
  <c r="AQ49"/>
  <c r="AQ52"/>
  <c r="AQ55"/>
  <c r="AQ58"/>
  <c r="AQ61"/>
  <c r="AQ64"/>
  <c r="AQ67"/>
  <c r="AQ73"/>
  <c r="AQ76"/>
  <c r="AQ79"/>
  <c r="AQ82"/>
  <c r="AQ85"/>
  <c r="AR16"/>
  <c r="AR19"/>
  <c r="AR22"/>
  <c r="AR13" s="1"/>
  <c r="AR25"/>
  <c r="AR28"/>
  <c r="AR31"/>
  <c r="AR34"/>
  <c r="AR37"/>
  <c r="AR40"/>
  <c r="AR43"/>
  <c r="AR46"/>
  <c r="AR49"/>
  <c r="AR52"/>
  <c r="AR55"/>
  <c r="AR58"/>
  <c r="AR61"/>
  <c r="AR64"/>
  <c r="AR67"/>
  <c r="AR73"/>
  <c r="AR76"/>
  <c r="AR79"/>
  <c r="AR82"/>
  <c r="AR85"/>
  <c r="AS16"/>
  <c r="AS19"/>
  <c r="AS22"/>
  <c r="AS13" s="1"/>
  <c r="AS25"/>
  <c r="AS28"/>
  <c r="AS31"/>
  <c r="AS34"/>
  <c r="AS37"/>
  <c r="AS40"/>
  <c r="AS43"/>
  <c r="AS46"/>
  <c r="AS49"/>
  <c r="AS52"/>
  <c r="AS55"/>
  <c r="AS58"/>
  <c r="AS61"/>
  <c r="AS64"/>
  <c r="AS67"/>
  <c r="AS73"/>
  <c r="AS76"/>
  <c r="AS79"/>
  <c r="AS82"/>
  <c r="AS85"/>
  <c r="AT16"/>
  <c r="AT19"/>
  <c r="AT22"/>
  <c r="AT13" s="1"/>
  <c r="AT25"/>
  <c r="AT28"/>
  <c r="AT31"/>
  <c r="AT34"/>
  <c r="AT37"/>
  <c r="AT40"/>
  <c r="AT43"/>
  <c r="AT46"/>
  <c r="AT49"/>
  <c r="AT52"/>
  <c r="AT55"/>
  <c r="AT58"/>
  <c r="AT61"/>
  <c r="AT64"/>
  <c r="AT67"/>
  <c r="AT73"/>
  <c r="AT76"/>
  <c r="AT79"/>
  <c r="AT82"/>
  <c r="AT85"/>
  <c r="AU16"/>
  <c r="AU19"/>
  <c r="AU22"/>
  <c r="AU13" s="1"/>
  <c r="AU25"/>
  <c r="AU28"/>
  <c r="AU31"/>
  <c r="AU34"/>
  <c r="AU37"/>
  <c r="AU40"/>
  <c r="AU43"/>
  <c r="AU46"/>
  <c r="AU49"/>
  <c r="AU52"/>
  <c r="AU55"/>
  <c r="AU58"/>
  <c r="AU61"/>
  <c r="AU64"/>
  <c r="AU67"/>
  <c r="AU73"/>
  <c r="AU76"/>
  <c r="AU79"/>
  <c r="AU82"/>
  <c r="AU85"/>
  <c r="AV16"/>
  <c r="AV19"/>
  <c r="AV22"/>
  <c r="AV13" s="1"/>
  <c r="AV25"/>
  <c r="AV28"/>
  <c r="AV31"/>
  <c r="AV34"/>
  <c r="AV37"/>
  <c r="AV40"/>
  <c r="AV43"/>
  <c r="AV46"/>
  <c r="AV49"/>
  <c r="AV52"/>
  <c r="AV55"/>
  <c r="AV58"/>
  <c r="AV61"/>
  <c r="AV64"/>
  <c r="AV67"/>
  <c r="AV73"/>
  <c r="AV76"/>
  <c r="AV79"/>
  <c r="AV82"/>
  <c r="AV85"/>
  <c r="AW16"/>
  <c r="AW19"/>
  <c r="AW22"/>
  <c r="AW13" s="1"/>
  <c r="AW25"/>
  <c r="AW28"/>
  <c r="AW31"/>
  <c r="AW34"/>
  <c r="AW37"/>
  <c r="AW40"/>
  <c r="AW43"/>
  <c r="AW46"/>
  <c r="AW49"/>
  <c r="AW52"/>
  <c r="AW55"/>
  <c r="AW58"/>
  <c r="AW61"/>
  <c r="AW64"/>
  <c r="AW67"/>
  <c r="AW73"/>
  <c r="AW76"/>
  <c r="AW79"/>
  <c r="AW82"/>
  <c r="AW85"/>
  <c r="AX16"/>
  <c r="AX19"/>
  <c r="AX22"/>
  <c r="AX25"/>
  <c r="AX28"/>
  <c r="AX31"/>
  <c r="AX34"/>
  <c r="AX37"/>
  <c r="AX40"/>
  <c r="AX43"/>
  <c r="AX46"/>
  <c r="AX49"/>
  <c r="AX52"/>
  <c r="AX55"/>
  <c r="AX58"/>
  <c r="AX61"/>
  <c r="AX64"/>
  <c r="AX67"/>
  <c r="AX73"/>
  <c r="AX76"/>
  <c r="AX79"/>
  <c r="AX82"/>
  <c r="AX85"/>
  <c r="AX13"/>
  <c r="AY16"/>
  <c r="AY19"/>
  <c r="AY22"/>
  <c r="AY13" s="1"/>
  <c r="AY25"/>
  <c r="AY28"/>
  <c r="AY31"/>
  <c r="AY34"/>
  <c r="AY37"/>
  <c r="AY40"/>
  <c r="AY43"/>
  <c r="AY46"/>
  <c r="AY49"/>
  <c r="AY52"/>
  <c r="AY55"/>
  <c r="AY58"/>
  <c r="AY61"/>
  <c r="AY64"/>
  <c r="AY67"/>
  <c r="AY73"/>
  <c r="AY76"/>
  <c r="AY79"/>
  <c r="AY82"/>
  <c r="AY85"/>
  <c r="AZ16"/>
  <c r="AZ19"/>
  <c r="AZ22"/>
  <c r="AZ13" s="1"/>
  <c r="AZ25"/>
  <c r="AZ28"/>
  <c r="AZ31"/>
  <c r="AZ34"/>
  <c r="AZ37"/>
  <c r="AZ40"/>
  <c r="AZ43"/>
  <c r="AZ46"/>
  <c r="AZ49"/>
  <c r="AZ52"/>
  <c r="AZ55"/>
  <c r="AZ58"/>
  <c r="AZ61"/>
  <c r="AZ64"/>
  <c r="AZ67"/>
  <c r="AZ73"/>
  <c r="AZ76"/>
  <c r="AZ79"/>
  <c r="AZ82"/>
  <c r="AZ85"/>
  <c r="BA16"/>
  <c r="BA19"/>
  <c r="BA22"/>
  <c r="BA13" s="1"/>
  <c r="BA25"/>
  <c r="BA28"/>
  <c r="BA31"/>
  <c r="BA34"/>
  <c r="BA37"/>
  <c r="BA40"/>
  <c r="BA43"/>
  <c r="BA46"/>
  <c r="BA49"/>
  <c r="BA52"/>
  <c r="BA55"/>
  <c r="BA58"/>
  <c r="BA61"/>
  <c r="BA64"/>
  <c r="BA67"/>
  <c r="BA73"/>
  <c r="BA76"/>
  <c r="BA79"/>
  <c r="BA82"/>
  <c r="BA85"/>
  <c r="BD16"/>
  <c r="BD19"/>
  <c r="BD22"/>
  <c r="BD13" s="1"/>
  <c r="BD25"/>
  <c r="BD28"/>
  <c r="BD31"/>
  <c r="BD34"/>
  <c r="BD37"/>
  <c r="BD40"/>
  <c r="BD43"/>
  <c r="BD46"/>
  <c r="BD49"/>
  <c r="BD52"/>
  <c r="BD55"/>
  <c r="BD58"/>
  <c r="BD61"/>
  <c r="BD64"/>
  <c r="BD67"/>
  <c r="BD73"/>
  <c r="BD76"/>
  <c r="BD79"/>
  <c r="BD82"/>
  <c r="BD85"/>
  <c r="C52"/>
  <c r="BC50"/>
  <c r="C37"/>
  <c r="BC35"/>
  <c r="I11" i="25"/>
  <c r="BH11"/>
  <c r="BL10" i="42"/>
  <c r="BM10"/>
  <c r="BN10"/>
  <c r="BO10"/>
  <c r="L22" i="45"/>
  <c r="BH54"/>
  <c r="D54"/>
  <c r="BF54"/>
  <c r="M54" s="1"/>
  <c r="V54"/>
  <c r="W54"/>
  <c r="O52"/>
  <c r="M52"/>
  <c r="F52"/>
  <c r="AY47"/>
  <c r="BE47"/>
  <c r="D47"/>
  <c r="BH47"/>
  <c r="BF47"/>
  <c r="BA47"/>
  <c r="BB47"/>
  <c r="AT47"/>
  <c r="AU47"/>
  <c r="AV47"/>
  <c r="AW47"/>
  <c r="AX47"/>
  <c r="AM47"/>
  <c r="AN47"/>
  <c r="AO47"/>
  <c r="AQ47"/>
  <c r="AR47"/>
  <c r="AL27"/>
  <c r="I27" s="1"/>
  <c r="AL29"/>
  <c r="I29" s="1"/>
  <c r="AI31"/>
  <c r="BS31" s="1"/>
  <c r="AL33"/>
  <c r="I33" s="1"/>
  <c r="AL37"/>
  <c r="I37" s="1"/>
  <c r="AL41"/>
  <c r="I41" s="1"/>
  <c r="Q41" s="1"/>
  <c r="T41" s="1"/>
  <c r="AL43"/>
  <c r="I43" s="1"/>
  <c r="AL45"/>
  <c r="I45" s="1"/>
  <c r="V47"/>
  <c r="X47"/>
  <c r="Y47"/>
  <c r="BG47"/>
  <c r="Z47"/>
  <c r="AC47"/>
  <c r="AY26"/>
  <c r="BE26"/>
  <c r="D26"/>
  <c r="Z26"/>
  <c r="AB26"/>
  <c r="AC26"/>
  <c r="BH26"/>
  <c r="BF26"/>
  <c r="BB26"/>
  <c r="AT26"/>
  <c r="AU26"/>
  <c r="AV26"/>
  <c r="AW26"/>
  <c r="AX26"/>
  <c r="AM26"/>
  <c r="AN26"/>
  <c r="AO26"/>
  <c r="AQ26"/>
  <c r="AL20"/>
  <c r="I20" s="1"/>
  <c r="AL22"/>
  <c r="I22" s="1"/>
  <c r="AI24"/>
  <c r="AL24" s="1"/>
  <c r="Y26"/>
  <c r="BG26"/>
  <c r="K19"/>
  <c r="AM16"/>
  <c r="AN16"/>
  <c r="AO16"/>
  <c r="AQ16"/>
  <c r="AP16"/>
  <c r="L10"/>
  <c r="J10"/>
  <c r="AL10"/>
  <c r="AY16"/>
  <c r="BE16"/>
  <c r="AB16"/>
  <c r="BA16"/>
  <c r="BB16"/>
  <c r="AT16"/>
  <c r="AU16"/>
  <c r="AV16"/>
  <c r="AX16"/>
  <c r="AL14"/>
  <c r="V16"/>
  <c r="X16"/>
  <c r="BG16"/>
  <c r="N16"/>
  <c r="S14"/>
  <c r="O14"/>
  <c r="M14"/>
  <c r="N14"/>
  <c r="S12"/>
  <c r="R12"/>
  <c r="N12"/>
  <c r="G10"/>
  <c r="AL55"/>
  <c r="I55"/>
  <c r="I48"/>
  <c r="AP57"/>
  <c r="AP54"/>
  <c r="AP50"/>
  <c r="AP47"/>
  <c r="AP26"/>
  <c r="AP19"/>
  <c r="M25" i="40"/>
  <c r="M21"/>
  <c r="O38" i="45"/>
  <c r="O36"/>
  <c r="BR30"/>
  <c r="BQ30"/>
  <c r="BN29"/>
  <c r="BR29"/>
  <c r="BR28"/>
  <c r="BQ28"/>
  <c r="BN27"/>
  <c r="BO27"/>
  <c r="BQ27"/>
  <c r="BR10"/>
  <c r="BR20"/>
  <c r="V50"/>
  <c r="X50"/>
  <c r="BG54"/>
  <c r="BE54"/>
  <c r="BD54"/>
  <c r="BC54"/>
  <c r="BB54"/>
  <c r="BA54"/>
  <c r="AZ54"/>
  <c r="AY54"/>
  <c r="S54" s="1"/>
  <c r="AX54"/>
  <c r="AW54"/>
  <c r="AV54"/>
  <c r="AU54"/>
  <c r="AT54"/>
  <c r="X54"/>
  <c r="Y54"/>
  <c r="Z54"/>
  <c r="AB54"/>
  <c r="AC54"/>
  <c r="AE54"/>
  <c r="AF54"/>
  <c r="AG54"/>
  <c r="AH54"/>
  <c r="AI54"/>
  <c r="AJ54"/>
  <c r="AK54"/>
  <c r="P54" s="1"/>
  <c r="AM54"/>
  <c r="AN54"/>
  <c r="AO54"/>
  <c r="AQ54"/>
  <c r="AR54"/>
  <c r="V57"/>
  <c r="X57"/>
  <c r="D57"/>
  <c r="W57"/>
  <c r="Y57"/>
  <c r="Z57"/>
  <c r="AB57"/>
  <c r="AC57"/>
  <c r="AD57"/>
  <c r="AE57"/>
  <c r="AF57"/>
  <c r="AG57"/>
  <c r="AH57"/>
  <c r="AI57"/>
  <c r="AJ57"/>
  <c r="AK57"/>
  <c r="AM57"/>
  <c r="AN57"/>
  <c r="AO57"/>
  <c r="AQ57"/>
  <c r="AR57"/>
  <c r="AT57"/>
  <c r="AU57"/>
  <c r="AV57"/>
  <c r="AW57"/>
  <c r="AX57"/>
  <c r="AY57"/>
  <c r="AZ57"/>
  <c r="BA57"/>
  <c r="BB57"/>
  <c r="L57" s="1"/>
  <c r="BC57"/>
  <c r="BD57"/>
  <c r="BE57"/>
  <c r="BF57"/>
  <c r="M57"/>
  <c r="BG57"/>
  <c r="BH57"/>
  <c r="M46"/>
  <c r="O46"/>
  <c r="O44"/>
  <c r="M44"/>
  <c r="BR31"/>
  <c r="BR35"/>
  <c r="BR39"/>
  <c r="BR41"/>
  <c r="BR45"/>
  <c r="BQ31"/>
  <c r="BQ35"/>
  <c r="BQ41"/>
  <c r="BQ45"/>
  <c r="BO48"/>
  <c r="BO50" s="1"/>
  <c r="BP48"/>
  <c r="BP50" s="1"/>
  <c r="BQ48"/>
  <c r="BQ50" s="1"/>
  <c r="BR48"/>
  <c r="BR50" s="1"/>
  <c r="BS50"/>
  <c r="BN48"/>
  <c r="BN50"/>
  <c r="BR34"/>
  <c r="BQ34"/>
  <c r="BN31"/>
  <c r="BN35"/>
  <c r="BN37"/>
  <c r="BN39"/>
  <c r="BN41"/>
  <c r="BN43"/>
  <c r="BN45"/>
  <c r="E13" i="24"/>
  <c r="AZ26" i="40"/>
  <c r="AZ73"/>
  <c r="AS26"/>
  <c r="AT26"/>
  <c r="AT73" s="1"/>
  <c r="AU26"/>
  <c r="AU73" s="1"/>
  <c r="AO26"/>
  <c r="AO73" s="1"/>
  <c r="AQ26"/>
  <c r="AQ73" s="1"/>
  <c r="AL21"/>
  <c r="J21" s="1"/>
  <c r="AO14"/>
  <c r="AO71" s="1"/>
  <c r="AL14"/>
  <c r="H25"/>
  <c r="BP39"/>
  <c r="BP40"/>
  <c r="BP41"/>
  <c r="BP42"/>
  <c r="AL44"/>
  <c r="J44" s="1"/>
  <c r="AL30"/>
  <c r="BP30" s="1"/>
  <c r="AL31"/>
  <c r="BP29"/>
  <c r="BL21"/>
  <c r="BN21"/>
  <c r="BO21"/>
  <c r="BL22"/>
  <c r="BM22"/>
  <c r="BN22"/>
  <c r="BO22"/>
  <c r="BL23"/>
  <c r="BM23"/>
  <c r="BN23"/>
  <c r="BO23"/>
  <c r="BL24"/>
  <c r="BM24"/>
  <c r="BN24"/>
  <c r="BO24"/>
  <c r="BL25"/>
  <c r="BN25"/>
  <c r="BN26"/>
  <c r="BT26" s="1"/>
  <c r="AL25"/>
  <c r="J25" s="1"/>
  <c r="BO25"/>
  <c r="AL68"/>
  <c r="BP68"/>
  <c r="AL59"/>
  <c r="AL58"/>
  <c r="BP58" s="1"/>
  <c r="AL52"/>
  <c r="AL24"/>
  <c r="J24"/>
  <c r="AL23"/>
  <c r="J23"/>
  <c r="AL22"/>
  <c r="J22"/>
  <c r="AD32"/>
  <c r="AE32"/>
  <c r="AG32"/>
  <c r="AF32"/>
  <c r="AH32"/>
  <c r="AI32"/>
  <c r="AJ32"/>
  <c r="AK32"/>
  <c r="P32" s="1"/>
  <c r="AE72"/>
  <c r="AF72"/>
  <c r="AG72"/>
  <c r="AJ72"/>
  <c r="P20"/>
  <c r="O30"/>
  <c r="BH22"/>
  <c r="E73"/>
  <c r="BH47"/>
  <c r="BK47" s="1"/>
  <c r="BH48"/>
  <c r="BH49"/>
  <c r="BK49"/>
  <c r="BH50"/>
  <c r="BH51"/>
  <c r="BK51" s="1"/>
  <c r="E74"/>
  <c r="BH27"/>
  <c r="BH28"/>
  <c r="E46"/>
  <c r="E75"/>
  <c r="BH54"/>
  <c r="BK54"/>
  <c r="BH55"/>
  <c r="BK55"/>
  <c r="BH56"/>
  <c r="BK56" s="1"/>
  <c r="BH57"/>
  <c r="V26"/>
  <c r="V73"/>
  <c r="X26"/>
  <c r="V53"/>
  <c r="X53"/>
  <c r="V45"/>
  <c r="V32"/>
  <c r="X45"/>
  <c r="X32"/>
  <c r="X38"/>
  <c r="V14"/>
  <c r="V71"/>
  <c r="X14"/>
  <c r="X71"/>
  <c r="BO29"/>
  <c r="BO30"/>
  <c r="BO31"/>
  <c r="BL31"/>
  <c r="BL27"/>
  <c r="BM27"/>
  <c r="BN27"/>
  <c r="BO27"/>
  <c r="BP27"/>
  <c r="BL28"/>
  <c r="BM28"/>
  <c r="BN28"/>
  <c r="BO28"/>
  <c r="BP28"/>
  <c r="BN43"/>
  <c r="BO43"/>
  <c r="BL44"/>
  <c r="BL45"/>
  <c r="BN44"/>
  <c r="BO44"/>
  <c r="BM39"/>
  <c r="BN39"/>
  <c r="BO39"/>
  <c r="BM40"/>
  <c r="BN40"/>
  <c r="BO40"/>
  <c r="BM41"/>
  <c r="BN41"/>
  <c r="BO41"/>
  <c r="BM42"/>
  <c r="BN42"/>
  <c r="BO42"/>
  <c r="BL58"/>
  <c r="BN58"/>
  <c r="BO58"/>
  <c r="BL59"/>
  <c r="BN59"/>
  <c r="BO59"/>
  <c r="BL54"/>
  <c r="BM54"/>
  <c r="BN54"/>
  <c r="BO54"/>
  <c r="BP54"/>
  <c r="BL55"/>
  <c r="BM55"/>
  <c r="BN55"/>
  <c r="BO55"/>
  <c r="BP55"/>
  <c r="BL56"/>
  <c r="BM56"/>
  <c r="BN56"/>
  <c r="BO56"/>
  <c r="BP56"/>
  <c r="BL57"/>
  <c r="BM57"/>
  <c r="BN57"/>
  <c r="BO57"/>
  <c r="BP57"/>
  <c r="BL68"/>
  <c r="BM68"/>
  <c r="BM69"/>
  <c r="BM77" s="1"/>
  <c r="BO68"/>
  <c r="BN68"/>
  <c r="BM62"/>
  <c r="BN62"/>
  <c r="BO62"/>
  <c r="BP62"/>
  <c r="BM63"/>
  <c r="BN63"/>
  <c r="BO63"/>
  <c r="BP63"/>
  <c r="BM64"/>
  <c r="BN64"/>
  <c r="BO64"/>
  <c r="BP64"/>
  <c r="BM65"/>
  <c r="BN65"/>
  <c r="BO65"/>
  <c r="BP65"/>
  <c r="BM66"/>
  <c r="BN66"/>
  <c r="BO66"/>
  <c r="BP66"/>
  <c r="BL52"/>
  <c r="BM52"/>
  <c r="BN52"/>
  <c r="BO52"/>
  <c r="BL47"/>
  <c r="BM47"/>
  <c r="BN47"/>
  <c r="BO47"/>
  <c r="BP47"/>
  <c r="BL48"/>
  <c r="BM48"/>
  <c r="BN48"/>
  <c r="BO48"/>
  <c r="BP48"/>
  <c r="BL49"/>
  <c r="BM49"/>
  <c r="BN49"/>
  <c r="BO49"/>
  <c r="BP49"/>
  <c r="BL50"/>
  <c r="BM50"/>
  <c r="BN50"/>
  <c r="BO50"/>
  <c r="BP50"/>
  <c r="BL51"/>
  <c r="BM51"/>
  <c r="BN51"/>
  <c r="BO51"/>
  <c r="BP51"/>
  <c r="BO14"/>
  <c r="BO71" s="1"/>
  <c r="BD77"/>
  <c r="BC77"/>
  <c r="BB77"/>
  <c r="BA77"/>
  <c r="AZ77"/>
  <c r="AY77"/>
  <c r="AX77"/>
  <c r="S77" s="1"/>
  <c r="AV77"/>
  <c r="N61"/>
  <c r="BC76"/>
  <c r="BA76"/>
  <c r="AV76"/>
  <c r="BG45"/>
  <c r="BG38"/>
  <c r="BG32"/>
  <c r="BF45"/>
  <c r="O45" s="1"/>
  <c r="BF38"/>
  <c r="O38" s="1"/>
  <c r="BF32"/>
  <c r="O32" s="1"/>
  <c r="BE45"/>
  <c r="N45" s="1"/>
  <c r="BE38"/>
  <c r="N38" s="1"/>
  <c r="BE32"/>
  <c r="N32" s="1"/>
  <c r="BD45"/>
  <c r="BD38"/>
  <c r="BD32"/>
  <c r="BC45"/>
  <c r="BC38"/>
  <c r="BC32"/>
  <c r="BB45"/>
  <c r="BB38"/>
  <c r="BB32"/>
  <c r="BA45"/>
  <c r="BA38"/>
  <c r="BA32"/>
  <c r="AZ45"/>
  <c r="AZ38"/>
  <c r="AZ32"/>
  <c r="AY45"/>
  <c r="AY38"/>
  <c r="AY32"/>
  <c r="AX45"/>
  <c r="AX38"/>
  <c r="S38"/>
  <c r="AX32"/>
  <c r="S32"/>
  <c r="AW45"/>
  <c r="AW38"/>
  <c r="AW32"/>
  <c r="AV45"/>
  <c r="AV38"/>
  <c r="AV32"/>
  <c r="AU45"/>
  <c r="AU38"/>
  <c r="AU32"/>
  <c r="AT45"/>
  <c r="AT38"/>
  <c r="AT32"/>
  <c r="AS45"/>
  <c r="AS38"/>
  <c r="AS32"/>
  <c r="BG53"/>
  <c r="BG74" s="1"/>
  <c r="BF53"/>
  <c r="O53" s="1"/>
  <c r="BE53"/>
  <c r="BD53"/>
  <c r="BD74"/>
  <c r="BC53"/>
  <c r="BC74"/>
  <c r="BB53"/>
  <c r="BB74"/>
  <c r="BA53"/>
  <c r="BA74"/>
  <c r="AZ53"/>
  <c r="AY53"/>
  <c r="AY74" s="1"/>
  <c r="AX53"/>
  <c r="AX74" s="1"/>
  <c r="S74" s="1"/>
  <c r="AW53"/>
  <c r="AW74"/>
  <c r="AV53"/>
  <c r="AV74"/>
  <c r="AU53"/>
  <c r="AU74"/>
  <c r="AT53"/>
  <c r="AT74"/>
  <c r="AS53"/>
  <c r="BG26"/>
  <c r="BG73" s="1"/>
  <c r="BF26"/>
  <c r="O26" s="1"/>
  <c r="BE26"/>
  <c r="N26" s="1"/>
  <c r="BD26"/>
  <c r="BD73" s="1"/>
  <c r="BC26"/>
  <c r="BC73" s="1"/>
  <c r="BB26"/>
  <c r="BB73" s="1"/>
  <c r="BA26"/>
  <c r="BA73" s="1"/>
  <c r="AY26"/>
  <c r="AY73" s="1"/>
  <c r="AX26"/>
  <c r="AX73" s="1"/>
  <c r="S73" s="1"/>
  <c r="AW26"/>
  <c r="AW73"/>
  <c r="AV26"/>
  <c r="AV73"/>
  <c r="BG72"/>
  <c r="N20"/>
  <c r="BD72"/>
  <c r="BC72"/>
  <c r="BB72"/>
  <c r="BA72"/>
  <c r="AY72"/>
  <c r="AX72"/>
  <c r="AW72"/>
  <c r="AV72"/>
  <c r="AU72"/>
  <c r="AT72"/>
  <c r="BG14"/>
  <c r="BG71"/>
  <c r="BF14"/>
  <c r="BF71"/>
  <c r="BE14"/>
  <c r="BE71" s="1"/>
  <c r="BD14"/>
  <c r="BD71" s="1"/>
  <c r="BC14"/>
  <c r="BC71" s="1"/>
  <c r="BB14"/>
  <c r="BB71" s="1"/>
  <c r="BA14"/>
  <c r="BA71" s="1"/>
  <c r="AZ14"/>
  <c r="M14"/>
  <c r="AY14"/>
  <c r="AY71"/>
  <c r="AX14"/>
  <c r="AX71"/>
  <c r="S71" s="1"/>
  <c r="AW14"/>
  <c r="AW71" s="1"/>
  <c r="AV14"/>
  <c r="AV71" s="1"/>
  <c r="AU14"/>
  <c r="AU71" s="1"/>
  <c r="AT14"/>
  <c r="AT71"/>
  <c r="AS14"/>
  <c r="Z26"/>
  <c r="Z73" s="1"/>
  <c r="AA26"/>
  <c r="AA73" s="1"/>
  <c r="AC26"/>
  <c r="AC73" s="1"/>
  <c r="AD26"/>
  <c r="AD73" s="1"/>
  <c r="AE26"/>
  <c r="AE73" s="1"/>
  <c r="AF26"/>
  <c r="AF73" s="1"/>
  <c r="AG26"/>
  <c r="AG73" s="1"/>
  <c r="AH26"/>
  <c r="AH73" s="1"/>
  <c r="AI26"/>
  <c r="AI73" s="1"/>
  <c r="AJ26"/>
  <c r="AJ73" s="1"/>
  <c r="AK26"/>
  <c r="P26" s="1"/>
  <c r="AM26"/>
  <c r="AN26"/>
  <c r="AN73"/>
  <c r="AP26"/>
  <c r="AP73"/>
  <c r="W53"/>
  <c r="W74"/>
  <c r="Y53"/>
  <c r="Y74"/>
  <c r="Z53"/>
  <c r="Z74"/>
  <c r="AA53"/>
  <c r="AA74"/>
  <c r="AC53"/>
  <c r="AC74"/>
  <c r="AD53"/>
  <c r="AD74"/>
  <c r="AE53"/>
  <c r="AE74"/>
  <c r="AF53"/>
  <c r="AF74"/>
  <c r="AG53"/>
  <c r="AG74"/>
  <c r="AH53"/>
  <c r="AH74"/>
  <c r="AI53"/>
  <c r="AI74"/>
  <c r="AJ53"/>
  <c r="AJ74" s="1"/>
  <c r="AK53"/>
  <c r="AL53"/>
  <c r="AL74"/>
  <c r="AM53"/>
  <c r="AM74" s="1"/>
  <c r="AN53"/>
  <c r="AO53"/>
  <c r="AO74"/>
  <c r="AP53"/>
  <c r="AP74"/>
  <c r="AQ53"/>
  <c r="AQ74" s="1"/>
  <c r="Z45"/>
  <c r="Z32"/>
  <c r="Z38"/>
  <c r="AA45"/>
  <c r="AA38"/>
  <c r="AA32"/>
  <c r="AC32"/>
  <c r="AC45"/>
  <c r="AC38"/>
  <c r="AD45"/>
  <c r="AD38"/>
  <c r="AE45"/>
  <c r="AE38"/>
  <c r="AF45"/>
  <c r="AF38"/>
  <c r="AG45"/>
  <c r="AG38"/>
  <c r="AH45"/>
  <c r="AH38"/>
  <c r="AI45"/>
  <c r="AI38"/>
  <c r="AJ45"/>
  <c r="AJ38"/>
  <c r="AK45"/>
  <c r="P45"/>
  <c r="AK38"/>
  <c r="P38"/>
  <c r="AL38"/>
  <c r="J38"/>
  <c r="AM45"/>
  <c r="AM38"/>
  <c r="AM32"/>
  <c r="AN45"/>
  <c r="AN38"/>
  <c r="AN32"/>
  <c r="AO45"/>
  <c r="AO38"/>
  <c r="AO32"/>
  <c r="AP45"/>
  <c r="AP38"/>
  <c r="AP32"/>
  <c r="AQ45"/>
  <c r="AQ38"/>
  <c r="AQ32"/>
  <c r="AA76"/>
  <c r="AE76"/>
  <c r="AI76"/>
  <c r="AP76"/>
  <c r="AA77"/>
  <c r="AF77"/>
  <c r="AJ77"/>
  <c r="AN77"/>
  <c r="AP77"/>
  <c r="D19" i="45"/>
  <c r="BH19"/>
  <c r="BG19"/>
  <c r="BF19"/>
  <c r="BE19"/>
  <c r="BD19"/>
  <c r="BC19"/>
  <c r="BB19"/>
  <c r="BA19"/>
  <c r="AZ19"/>
  <c r="AY19"/>
  <c r="AX19"/>
  <c r="AW19"/>
  <c r="AV19"/>
  <c r="AU19"/>
  <c r="AT19"/>
  <c r="X19"/>
  <c r="Y19"/>
  <c r="Z19"/>
  <c r="AB19"/>
  <c r="AC19"/>
  <c r="AD19"/>
  <c r="AE19"/>
  <c r="AF19"/>
  <c r="AG19"/>
  <c r="AH19"/>
  <c r="AI19"/>
  <c r="AJ19"/>
  <c r="AK19"/>
  <c r="P19"/>
  <c r="AM19"/>
  <c r="AN19"/>
  <c r="AO19"/>
  <c r="AQ19"/>
  <c r="AR19"/>
  <c r="V19"/>
  <c r="N19"/>
  <c r="R19"/>
  <c r="S19"/>
  <c r="J19"/>
  <c r="M19"/>
  <c r="O19"/>
  <c r="BD16"/>
  <c r="BC16"/>
  <c r="AZ16"/>
  <c r="AD16"/>
  <c r="AE16"/>
  <c r="AF16"/>
  <c r="AG16"/>
  <c r="AH16"/>
  <c r="AJ16"/>
  <c r="AK16"/>
  <c r="P16"/>
  <c r="F10" i="42"/>
  <c r="X25" i="26"/>
  <c r="F25"/>
  <c r="BO14"/>
  <c r="AW25"/>
  <c r="AX25"/>
  <c r="AY25"/>
  <c r="AZ25"/>
  <c r="U25" s="1"/>
  <c r="BA25"/>
  <c r="BB25"/>
  <c r="BC25"/>
  <c r="BD25"/>
  <c r="BE25"/>
  <c r="BF25"/>
  <c r="BH25"/>
  <c r="P25" s="1"/>
  <c r="BI25"/>
  <c r="Q25" s="1"/>
  <c r="BJ25"/>
  <c r="BL25"/>
  <c r="BM25"/>
  <c r="AV25"/>
  <c r="Z25"/>
  <c r="I25" s="1"/>
  <c r="AA25"/>
  <c r="AB25"/>
  <c r="AC25"/>
  <c r="AD25"/>
  <c r="T25" s="1"/>
  <c r="AE25"/>
  <c r="AF25"/>
  <c r="AG25"/>
  <c r="AH25"/>
  <c r="AI25"/>
  <c r="AJ25"/>
  <c r="AK25"/>
  <c r="AL25"/>
  <c r="AM25"/>
  <c r="R25"/>
  <c r="AO25"/>
  <c r="AP25"/>
  <c r="AQ25"/>
  <c r="AR25"/>
  <c r="AS25"/>
  <c r="AN16"/>
  <c r="K16" s="1"/>
  <c r="G31" i="40"/>
  <c r="S31"/>
  <c r="S30"/>
  <c r="S29"/>
  <c r="BK28"/>
  <c r="P28"/>
  <c r="O28"/>
  <c r="N28"/>
  <c r="M28"/>
  <c r="L28"/>
  <c r="K28"/>
  <c r="J28"/>
  <c r="G28"/>
  <c r="H28"/>
  <c r="R28"/>
  <c r="S28"/>
  <c r="BK27"/>
  <c r="P27"/>
  <c r="O27"/>
  <c r="N27"/>
  <c r="M27"/>
  <c r="L27"/>
  <c r="K27"/>
  <c r="J27"/>
  <c r="G27"/>
  <c r="H27"/>
  <c r="I27"/>
  <c r="R27"/>
  <c r="S27"/>
  <c r="BI45"/>
  <c r="BI46"/>
  <c r="BJ45"/>
  <c r="BJ46"/>
  <c r="BK40"/>
  <c r="BK42"/>
  <c r="E72"/>
  <c r="AP72"/>
  <c r="AO72"/>
  <c r="AN72"/>
  <c r="AM72"/>
  <c r="K72"/>
  <c r="AH72"/>
  <c r="AD72"/>
  <c r="AC72"/>
  <c r="E71"/>
  <c r="BJ71"/>
  <c r="BI71"/>
  <c r="W14"/>
  <c r="W71"/>
  <c r="G71" s="1"/>
  <c r="Y14"/>
  <c r="Y71"/>
  <c r="Z71"/>
  <c r="AA14"/>
  <c r="AA71" s="1"/>
  <c r="R71" s="1"/>
  <c r="AC14"/>
  <c r="AC71"/>
  <c r="AD14"/>
  <c r="AD71"/>
  <c r="AE14"/>
  <c r="AE71"/>
  <c r="AF14"/>
  <c r="AF71"/>
  <c r="AG14"/>
  <c r="AG71"/>
  <c r="AH14"/>
  <c r="AH71"/>
  <c r="AI14"/>
  <c r="AI71" s="1"/>
  <c r="AJ14"/>
  <c r="AJ71" s="1"/>
  <c r="AK14"/>
  <c r="P14" s="1"/>
  <c r="AM14"/>
  <c r="AM71" s="1"/>
  <c r="AN14"/>
  <c r="AN71" s="1"/>
  <c r="AP14"/>
  <c r="AP71" s="1"/>
  <c r="G11" i="31"/>
  <c r="BM15"/>
  <c r="BL15"/>
  <c r="BI15"/>
  <c r="BM14"/>
  <c r="BL14"/>
  <c r="BI14"/>
  <c r="BM12"/>
  <c r="BL12"/>
  <c r="BI12"/>
  <c r="AM14" i="48"/>
  <c r="L14" s="1"/>
  <c r="AM13"/>
  <c r="L13" s="1"/>
  <c r="AM21"/>
  <c r="L21" s="1"/>
  <c r="S21" s="1"/>
  <c r="V21" s="1"/>
  <c r="AM20"/>
  <c r="L20" s="1"/>
  <c r="BI18" i="26"/>
  <c r="BI27" s="1"/>
  <c r="F18"/>
  <c r="F27" s="1"/>
  <c r="AW18"/>
  <c r="AW27" s="1"/>
  <c r="AV18"/>
  <c r="AV27" s="1"/>
  <c r="AX18"/>
  <c r="AX27" s="1"/>
  <c r="AY18"/>
  <c r="AY27" s="1"/>
  <c r="AQ18"/>
  <c r="AQ27"/>
  <c r="AO18"/>
  <c r="AO27"/>
  <c r="AP18"/>
  <c r="AP27"/>
  <c r="AR18"/>
  <c r="AR27"/>
  <c r="AS18"/>
  <c r="AS27"/>
  <c r="AN17"/>
  <c r="K17"/>
  <c r="Z18"/>
  <c r="X18"/>
  <c r="AB14"/>
  <c r="AD14"/>
  <c r="AE14"/>
  <c r="F14"/>
  <c r="BI14"/>
  <c r="BH14"/>
  <c r="P14" s="1"/>
  <c r="BG14"/>
  <c r="O14" s="1"/>
  <c r="BB14"/>
  <c r="BC14"/>
  <c r="BD14"/>
  <c r="BE14"/>
  <c r="BF14"/>
  <c r="AW14"/>
  <c r="AV14"/>
  <c r="AX14"/>
  <c r="AY14"/>
  <c r="AQ14"/>
  <c r="AO14"/>
  <c r="AP14"/>
  <c r="AR14"/>
  <c r="AS14"/>
  <c r="AN14"/>
  <c r="X14"/>
  <c r="BJ23"/>
  <c r="F23"/>
  <c r="BI23"/>
  <c r="BG23"/>
  <c r="O23"/>
  <c r="BB23"/>
  <c r="BC23"/>
  <c r="BD23"/>
  <c r="BE23"/>
  <c r="BF23"/>
  <c r="AV23"/>
  <c r="AW23"/>
  <c r="AX23"/>
  <c r="AY23"/>
  <c r="AO23"/>
  <c r="AP23"/>
  <c r="L22"/>
  <c r="AR23"/>
  <c r="AS23"/>
  <c r="AN22"/>
  <c r="K22"/>
  <c r="X23"/>
  <c r="Y23"/>
  <c r="Z23"/>
  <c r="AA23"/>
  <c r="BH23"/>
  <c r="P23"/>
  <c r="AB23"/>
  <c r="AB26"/>
  <c r="AD23"/>
  <c r="AE23"/>
  <c r="T23" s="1"/>
  <c r="AZ23"/>
  <c r="U23" s="1"/>
  <c r="L18"/>
  <c r="X12"/>
  <c r="Y12"/>
  <c r="Y26" s="1"/>
  <c r="F12"/>
  <c r="F26"/>
  <c r="BG12"/>
  <c r="O11"/>
  <c r="H11"/>
  <c r="X20"/>
  <c r="X28" s="1"/>
  <c r="Z20"/>
  <c r="Z12"/>
  <c r="Z14"/>
  <c r="AA14"/>
  <c r="I14"/>
  <c r="BJ14"/>
  <c r="AZ14"/>
  <c r="U14" s="1"/>
  <c r="BJ12"/>
  <c r="BI12"/>
  <c r="BI26"/>
  <c r="Q26" s="1"/>
  <c r="BB12"/>
  <c r="BB26" s="1"/>
  <c r="BC12"/>
  <c r="BC26" s="1"/>
  <c r="BD12"/>
  <c r="BD26" s="1"/>
  <c r="BE12"/>
  <c r="BE26" s="1"/>
  <c r="BF12"/>
  <c r="BF26" s="1"/>
  <c r="AV12"/>
  <c r="AV26" s="1"/>
  <c r="AW12"/>
  <c r="AW26" s="1"/>
  <c r="AX12"/>
  <c r="AX26" s="1"/>
  <c r="AY12"/>
  <c r="AY26" s="1"/>
  <c r="AO12"/>
  <c r="AP12"/>
  <c r="AP26"/>
  <c r="AQ12"/>
  <c r="AR12"/>
  <c r="AR26" s="1"/>
  <c r="AS12"/>
  <c r="AS26"/>
  <c r="AN11"/>
  <c r="K11"/>
  <c r="AA12"/>
  <c r="AA26"/>
  <c r="BH12"/>
  <c r="BH26" s="1"/>
  <c r="P26" s="1"/>
  <c r="AB12"/>
  <c r="AD12"/>
  <c r="AE12"/>
  <c r="AE26"/>
  <c r="AZ12"/>
  <c r="AZ26"/>
  <c r="BJ18"/>
  <c r="BG18"/>
  <c r="BG27" s="1"/>
  <c r="O27" s="1"/>
  <c r="BB18"/>
  <c r="BB27"/>
  <c r="BC18"/>
  <c r="BC27"/>
  <c r="BD18"/>
  <c r="BD27"/>
  <c r="BE18"/>
  <c r="BE27"/>
  <c r="BF18"/>
  <c r="BF27"/>
  <c r="BH18"/>
  <c r="BH27"/>
  <c r="P27" s="1"/>
  <c r="AB18"/>
  <c r="AD18"/>
  <c r="AD27"/>
  <c r="AE18"/>
  <c r="AE27"/>
  <c r="AZ18"/>
  <c r="AZ27"/>
  <c r="BJ20"/>
  <c r="BJ28"/>
  <c r="F20"/>
  <c r="F28"/>
  <c r="BI20"/>
  <c r="BG20"/>
  <c r="BG28" s="1"/>
  <c r="O28" s="1"/>
  <c r="BB20"/>
  <c r="BB28"/>
  <c r="BC20"/>
  <c r="BC28"/>
  <c r="BD20"/>
  <c r="BD28"/>
  <c r="BE20"/>
  <c r="BE28"/>
  <c r="BF20"/>
  <c r="BF28"/>
  <c r="AV20"/>
  <c r="AV28"/>
  <c r="AW20"/>
  <c r="AW28"/>
  <c r="AX20"/>
  <c r="AX28"/>
  <c r="AY20"/>
  <c r="AY28"/>
  <c r="AO20"/>
  <c r="AO28"/>
  <c r="AP20"/>
  <c r="AP28"/>
  <c r="AQ20"/>
  <c r="AQ28"/>
  <c r="AR20"/>
  <c r="AR28"/>
  <c r="AS20"/>
  <c r="AS28"/>
  <c r="AN20"/>
  <c r="Y20"/>
  <c r="Y28" s="1"/>
  <c r="AA20"/>
  <c r="AA28" s="1"/>
  <c r="BH20"/>
  <c r="BH28"/>
  <c r="P28" s="1"/>
  <c r="AB20"/>
  <c r="AD20"/>
  <c r="AD28"/>
  <c r="AE20"/>
  <c r="AE28"/>
  <c r="AZ20"/>
  <c r="AZ28"/>
  <c r="U28" s="1"/>
  <c r="BK22"/>
  <c r="BN22" s="1"/>
  <c r="BK17"/>
  <c r="BN17" s="1"/>
  <c r="BA20"/>
  <c r="BA28" s="1"/>
  <c r="BA18"/>
  <c r="BA27" s="1"/>
  <c r="BA12"/>
  <c r="BA23"/>
  <c r="BA26"/>
  <c r="BA14"/>
  <c r="AC14"/>
  <c r="AF14"/>
  <c r="AG14"/>
  <c r="AH14"/>
  <c r="AI14"/>
  <c r="AJ14"/>
  <c r="AK14"/>
  <c r="AL14"/>
  <c r="AM14"/>
  <c r="AC12"/>
  <c r="AC23"/>
  <c r="AF12"/>
  <c r="AF23"/>
  <c r="AF26" s="1"/>
  <c r="AG12"/>
  <c r="AG23"/>
  <c r="AG26"/>
  <c r="AH12"/>
  <c r="AH23"/>
  <c r="AI12"/>
  <c r="AI23"/>
  <c r="AI26" s="1"/>
  <c r="AJ12"/>
  <c r="AJ23"/>
  <c r="AK12"/>
  <c r="AK23"/>
  <c r="AL12"/>
  <c r="AL23"/>
  <c r="AL26"/>
  <c r="AM12"/>
  <c r="R12"/>
  <c r="AM23"/>
  <c r="R23"/>
  <c r="AC18"/>
  <c r="AC27"/>
  <c r="AF18"/>
  <c r="AF27"/>
  <c r="AG18"/>
  <c r="AG27"/>
  <c r="AH18"/>
  <c r="AH27"/>
  <c r="AI18"/>
  <c r="AI27"/>
  <c r="AJ18"/>
  <c r="AJ27"/>
  <c r="AK18"/>
  <c r="AK27"/>
  <c r="AL18"/>
  <c r="AL27"/>
  <c r="AM18"/>
  <c r="AC20"/>
  <c r="AC28" s="1"/>
  <c r="AF20"/>
  <c r="AF28" s="1"/>
  <c r="AG20"/>
  <c r="AG28" s="1"/>
  <c r="AH20"/>
  <c r="AH28" s="1"/>
  <c r="AI20"/>
  <c r="AI28" s="1"/>
  <c r="AJ20"/>
  <c r="AJ28" s="1"/>
  <c r="AK20"/>
  <c r="AK28" s="1"/>
  <c r="AL20"/>
  <c r="AL28" s="1"/>
  <c r="AM20"/>
  <c r="R20" s="1"/>
  <c r="M14"/>
  <c r="BQ11"/>
  <c r="BQ12"/>
  <c r="BQ26" s="1"/>
  <c r="BP11"/>
  <c r="BP12"/>
  <c r="BO11"/>
  <c r="BM12"/>
  <c r="BL12"/>
  <c r="N12"/>
  <c r="I12"/>
  <c r="BQ19"/>
  <c r="BQ20"/>
  <c r="BQ28" s="1"/>
  <c r="BP19"/>
  <c r="BP20" s="1"/>
  <c r="BP28" s="1"/>
  <c r="BO19"/>
  <c r="BO20"/>
  <c r="BO28" s="1"/>
  <c r="BM20"/>
  <c r="BL20"/>
  <c r="N20"/>
  <c r="P20"/>
  <c r="BP16"/>
  <c r="BP17"/>
  <c r="BQ16"/>
  <c r="BQ17"/>
  <c r="BQ18"/>
  <c r="BQ27" s="1"/>
  <c r="BR16"/>
  <c r="BR17"/>
  <c r="BS16"/>
  <c r="BS17"/>
  <c r="BO17"/>
  <c r="BO16"/>
  <c r="O18"/>
  <c r="Q17"/>
  <c r="O17"/>
  <c r="N17"/>
  <c r="M17"/>
  <c r="L17"/>
  <c r="I17"/>
  <c r="J17"/>
  <c r="P17"/>
  <c r="T17"/>
  <c r="U17"/>
  <c r="O16"/>
  <c r="N16"/>
  <c r="M16"/>
  <c r="L16"/>
  <c r="I16"/>
  <c r="P16"/>
  <c r="U16"/>
  <c r="BR19"/>
  <c r="BR20"/>
  <c r="BR28" s="1"/>
  <c r="BS19"/>
  <c r="BS20" s="1"/>
  <c r="BS28" s="1"/>
  <c r="BQ22"/>
  <c r="BQ23"/>
  <c r="BR11"/>
  <c r="BR12" s="1"/>
  <c r="BR26" s="1"/>
  <c r="BR22"/>
  <c r="BR23"/>
  <c r="BS11"/>
  <c r="BS12"/>
  <c r="BS22"/>
  <c r="BS23"/>
  <c r="BT11"/>
  <c r="BT12"/>
  <c r="BO22"/>
  <c r="BO23"/>
  <c r="BR14"/>
  <c r="M74" i="27"/>
  <c r="F74"/>
  <c r="E63"/>
  <c r="E24"/>
  <c r="E21"/>
  <c r="E15"/>
  <c r="BL83"/>
  <c r="BI11" i="25"/>
  <c r="BJ11"/>
  <c r="BK11"/>
  <c r="BL11"/>
  <c r="BM11"/>
  <c r="BH10"/>
  <c r="BI10"/>
  <c r="BN10" s="1"/>
  <c r="BJ10"/>
  <c r="BK10"/>
  <c r="BL10"/>
  <c r="BM10"/>
  <c r="I13" i="33"/>
  <c r="F12"/>
  <c r="BH13"/>
  <c r="BJ13"/>
  <c r="BL13"/>
  <c r="BL12"/>
  <c r="BJ12"/>
  <c r="BI12"/>
  <c r="BI11"/>
  <c r="BH12"/>
  <c r="BF12"/>
  <c r="BG12" s="1"/>
  <c r="AJ13"/>
  <c r="H13" s="1"/>
  <c r="P12"/>
  <c r="N13"/>
  <c r="M13"/>
  <c r="K13"/>
  <c r="J13"/>
  <c r="Q13"/>
  <c r="N12"/>
  <c r="M12"/>
  <c r="K12"/>
  <c r="Q12"/>
  <c r="BE11"/>
  <c r="BD11"/>
  <c r="BC11"/>
  <c r="BB11"/>
  <c r="BA11"/>
  <c r="AZ11"/>
  <c r="AY11"/>
  <c r="AX11"/>
  <c r="AW11"/>
  <c r="AV11"/>
  <c r="AU11"/>
  <c r="AT11"/>
  <c r="AS11"/>
  <c r="AR11"/>
  <c r="V11"/>
  <c r="W11"/>
  <c r="X11"/>
  <c r="Y11"/>
  <c r="Z11"/>
  <c r="AA11"/>
  <c r="AB11"/>
  <c r="AC11"/>
  <c r="AD11"/>
  <c r="AE11"/>
  <c r="AF11"/>
  <c r="AG11"/>
  <c r="AH11"/>
  <c r="AI11"/>
  <c r="AK11"/>
  <c r="AL11"/>
  <c r="AM11"/>
  <c r="AN11"/>
  <c r="AO11"/>
  <c r="T11"/>
  <c r="BM10" i="36"/>
  <c r="BK10"/>
  <c r="BJ10"/>
  <c r="O15" i="45"/>
  <c r="M15"/>
  <c r="O13"/>
  <c r="M13"/>
  <c r="O11"/>
  <c r="M11"/>
  <c r="BQ15"/>
  <c r="BN14"/>
  <c r="BQ14"/>
  <c r="BR14"/>
  <c r="BR13"/>
  <c r="BQ13"/>
  <c r="BN12"/>
  <c r="BO12"/>
  <c r="BP12"/>
  <c r="BQ12"/>
  <c r="BR12"/>
  <c r="BR11"/>
  <c r="BQ11"/>
  <c r="BN10"/>
  <c r="BQ10"/>
  <c r="BK10" i="46"/>
  <c r="BN10"/>
  <c r="AJ10"/>
  <c r="BO10" s="1"/>
  <c r="BI11" i="31"/>
  <c r="BL11"/>
  <c r="BL9"/>
  <c r="BM11"/>
  <c r="M11"/>
  <c r="L11"/>
  <c r="K11"/>
  <c r="J11"/>
  <c r="Q11"/>
  <c r="R11"/>
  <c r="U9" i="47"/>
  <c r="W9"/>
  <c r="C9"/>
  <c r="V9"/>
  <c r="BF9"/>
  <c r="BE9"/>
  <c r="BC9"/>
  <c r="AX9"/>
  <c r="AY9"/>
  <c r="AQ9"/>
  <c r="J9" s="1"/>
  <c r="AR9"/>
  <c r="AS9"/>
  <c r="AT9"/>
  <c r="AU9"/>
  <c r="AK9"/>
  <c r="AL9"/>
  <c r="AM9"/>
  <c r="AN9"/>
  <c r="AO9"/>
  <c r="AJ10"/>
  <c r="H10" s="1"/>
  <c r="AJ11"/>
  <c r="H11" s="1"/>
  <c r="AJ12"/>
  <c r="H12" s="1"/>
  <c r="AJ13"/>
  <c r="H13" s="1"/>
  <c r="AJ14"/>
  <c r="H14" s="1"/>
  <c r="AJ15"/>
  <c r="H15" s="1"/>
  <c r="X9"/>
  <c r="F9" s="1"/>
  <c r="Y9"/>
  <c r="Q9" s="1"/>
  <c r="Z9"/>
  <c r="AA9"/>
  <c r="AV9"/>
  <c r="R9" s="1"/>
  <c r="AB9"/>
  <c r="AC9"/>
  <c r="AD9"/>
  <c r="AE9"/>
  <c r="AF9"/>
  <c r="AG9"/>
  <c r="AH9"/>
  <c r="AI9"/>
  <c r="O9"/>
  <c r="AW9"/>
  <c r="AZ9"/>
  <c r="BA9"/>
  <c r="BB9"/>
  <c r="BD9"/>
  <c r="BG10"/>
  <c r="BJ10" s="1"/>
  <c r="BG11"/>
  <c r="BL10"/>
  <c r="BL11"/>
  <c r="BL12"/>
  <c r="BL13"/>
  <c r="BL14"/>
  <c r="BL15"/>
  <c r="BM10"/>
  <c r="BM11"/>
  <c r="BM12"/>
  <c r="BM13"/>
  <c r="BM14"/>
  <c r="BM9"/>
  <c r="BM15"/>
  <c r="BN10"/>
  <c r="BN11"/>
  <c r="BN12"/>
  <c r="BN13"/>
  <c r="BN14"/>
  <c r="BN15"/>
  <c r="BO10"/>
  <c r="BO11"/>
  <c r="BO12"/>
  <c r="BO13"/>
  <c r="BO14"/>
  <c r="BO15"/>
  <c r="BO9"/>
  <c r="BP10"/>
  <c r="BP11"/>
  <c r="BP12"/>
  <c r="BP13"/>
  <c r="BP14"/>
  <c r="BP15"/>
  <c r="BK10"/>
  <c r="BK11"/>
  <c r="BK12"/>
  <c r="BK13"/>
  <c r="BK14"/>
  <c r="BK15"/>
  <c r="N15"/>
  <c r="L15"/>
  <c r="K15"/>
  <c r="J15"/>
  <c r="I15"/>
  <c r="F15"/>
  <c r="G15" s="1"/>
  <c r="Q15"/>
  <c r="R15"/>
  <c r="N14"/>
  <c r="L14"/>
  <c r="K14"/>
  <c r="J14"/>
  <c r="I14"/>
  <c r="E14"/>
  <c r="F14"/>
  <c r="Q14"/>
  <c r="R14"/>
  <c r="L13"/>
  <c r="K13"/>
  <c r="J13"/>
  <c r="I13"/>
  <c r="F13"/>
  <c r="Q13"/>
  <c r="R13"/>
  <c r="L12"/>
  <c r="K12"/>
  <c r="J12"/>
  <c r="I12"/>
  <c r="F12"/>
  <c r="G12" s="1"/>
  <c r="Q12"/>
  <c r="R12"/>
  <c r="N11"/>
  <c r="L11"/>
  <c r="K11"/>
  <c r="J11"/>
  <c r="I11"/>
  <c r="E11"/>
  <c r="F11"/>
  <c r="Q11"/>
  <c r="R11"/>
  <c r="N10"/>
  <c r="L10"/>
  <c r="K10"/>
  <c r="J10"/>
  <c r="I10"/>
  <c r="E10"/>
  <c r="F10"/>
  <c r="G10"/>
  <c r="Q10"/>
  <c r="R10"/>
  <c r="O23" i="45"/>
  <c r="M23"/>
  <c r="BL23"/>
  <c r="BQ23"/>
  <c r="BR23"/>
  <c r="BN22"/>
  <c r="BO22"/>
  <c r="BP22"/>
  <c r="BQ22"/>
  <c r="BR22"/>
  <c r="AL23"/>
  <c r="AL34"/>
  <c r="O56"/>
  <c r="M56"/>
  <c r="AL56"/>
  <c r="BN55"/>
  <c r="BN57" s="1"/>
  <c r="BO55"/>
  <c r="BQ55"/>
  <c r="BP55"/>
  <c r="BP57" s="1"/>
  <c r="L55"/>
  <c r="K55"/>
  <c r="J55"/>
  <c r="G55"/>
  <c r="R55"/>
  <c r="S55"/>
  <c r="BR53"/>
  <c r="AL53"/>
  <c r="O53"/>
  <c r="M53"/>
  <c r="BN52"/>
  <c r="BN54" s="1"/>
  <c r="BO52"/>
  <c r="BQ52"/>
  <c r="BR52"/>
  <c r="BP52"/>
  <c r="BP54"/>
  <c r="L52"/>
  <c r="K52"/>
  <c r="J52"/>
  <c r="G52"/>
  <c r="H52" s="1"/>
  <c r="Q52" s="1"/>
  <c r="T52" s="1"/>
  <c r="R52"/>
  <c r="S52"/>
  <c r="BQ49"/>
  <c r="BR49"/>
  <c r="AL49"/>
  <c r="O49"/>
  <c r="M49"/>
  <c r="L48"/>
  <c r="K48"/>
  <c r="J48"/>
  <c r="G48"/>
  <c r="H48" s="1"/>
  <c r="Q48" s="1"/>
  <c r="R48"/>
  <c r="S48"/>
  <c r="BR42"/>
  <c r="BQ42"/>
  <c r="AL42"/>
  <c r="O42"/>
  <c r="M42"/>
  <c r="BO41"/>
  <c r="BP41"/>
  <c r="BR40"/>
  <c r="AL40"/>
  <c r="O40"/>
  <c r="M40"/>
  <c r="BO39"/>
  <c r="BP39"/>
  <c r="AL38"/>
  <c r="M38"/>
  <c r="BO37"/>
  <c r="BP37"/>
  <c r="BR36"/>
  <c r="BQ36"/>
  <c r="AL36"/>
  <c r="M36"/>
  <c r="BO35"/>
  <c r="BP35"/>
  <c r="BR32"/>
  <c r="AL32"/>
  <c r="O32"/>
  <c r="M32"/>
  <c r="BO31"/>
  <c r="BP31"/>
  <c r="AL30"/>
  <c r="M30"/>
  <c r="AL28"/>
  <c r="O28"/>
  <c r="M28"/>
  <c r="BR25"/>
  <c r="BQ25"/>
  <c r="AL25"/>
  <c r="O25"/>
  <c r="M25"/>
  <c r="BN24"/>
  <c r="BO24"/>
  <c r="BP24"/>
  <c r="BQ24"/>
  <c r="BR24"/>
  <c r="BQ21"/>
  <c r="BL21"/>
  <c r="O21"/>
  <c r="M21"/>
  <c r="T21"/>
  <c r="BP20"/>
  <c r="BQ20"/>
  <c r="BN19"/>
  <c r="BP19"/>
  <c r="BR19"/>
  <c r="G68" i="40"/>
  <c r="H68"/>
  <c r="R68"/>
  <c r="S68"/>
  <c r="P66"/>
  <c r="O66"/>
  <c r="N66"/>
  <c r="M66"/>
  <c r="L66"/>
  <c r="K66"/>
  <c r="J66"/>
  <c r="H66"/>
  <c r="R66"/>
  <c r="S66"/>
  <c r="P65"/>
  <c r="O65"/>
  <c r="N65"/>
  <c r="M65"/>
  <c r="L65"/>
  <c r="K65"/>
  <c r="J65"/>
  <c r="H65"/>
  <c r="R65"/>
  <c r="S65"/>
  <c r="P64"/>
  <c r="O64"/>
  <c r="N64"/>
  <c r="M64"/>
  <c r="L64"/>
  <c r="K64"/>
  <c r="J64"/>
  <c r="H64"/>
  <c r="R64"/>
  <c r="S64"/>
  <c r="P63"/>
  <c r="O63"/>
  <c r="N63"/>
  <c r="M63"/>
  <c r="L63"/>
  <c r="K63"/>
  <c r="J63"/>
  <c r="H63"/>
  <c r="R63"/>
  <c r="S63"/>
  <c r="P62"/>
  <c r="O62"/>
  <c r="N62"/>
  <c r="M62"/>
  <c r="L62"/>
  <c r="K62"/>
  <c r="J62"/>
  <c r="H62"/>
  <c r="R62"/>
  <c r="S62"/>
  <c r="H59"/>
  <c r="R59"/>
  <c r="S59"/>
  <c r="G58"/>
  <c r="H58"/>
  <c r="R58"/>
  <c r="S58"/>
  <c r="BK57"/>
  <c r="P57"/>
  <c r="O57"/>
  <c r="N57"/>
  <c r="M57"/>
  <c r="L57"/>
  <c r="K57"/>
  <c r="J57"/>
  <c r="G57"/>
  <c r="H57"/>
  <c r="R57"/>
  <c r="S57"/>
  <c r="P56"/>
  <c r="O56"/>
  <c r="Q56" s="1"/>
  <c r="N56"/>
  <c r="M56"/>
  <c r="L56"/>
  <c r="K56"/>
  <c r="J56"/>
  <c r="G56"/>
  <c r="H56"/>
  <c r="I56"/>
  <c r="R56"/>
  <c r="S56"/>
  <c r="P55"/>
  <c r="O55"/>
  <c r="N55"/>
  <c r="M55"/>
  <c r="L55"/>
  <c r="K55"/>
  <c r="J55"/>
  <c r="G55"/>
  <c r="H55"/>
  <c r="R55"/>
  <c r="S55"/>
  <c r="P54"/>
  <c r="O54"/>
  <c r="N54"/>
  <c r="M54"/>
  <c r="L54"/>
  <c r="K54"/>
  <c r="J54"/>
  <c r="G54"/>
  <c r="H54"/>
  <c r="R54"/>
  <c r="S54"/>
  <c r="P52"/>
  <c r="O52"/>
  <c r="N52"/>
  <c r="M52"/>
  <c r="L52"/>
  <c r="K52"/>
  <c r="G52"/>
  <c r="H52"/>
  <c r="R52"/>
  <c r="S52"/>
  <c r="P51"/>
  <c r="O51"/>
  <c r="N51"/>
  <c r="M51"/>
  <c r="L51"/>
  <c r="K51"/>
  <c r="J51"/>
  <c r="G51"/>
  <c r="H51"/>
  <c r="R51"/>
  <c r="S51"/>
  <c r="BK50"/>
  <c r="P50"/>
  <c r="O50"/>
  <c r="N50"/>
  <c r="M50"/>
  <c r="L50"/>
  <c r="K50"/>
  <c r="J50"/>
  <c r="G50"/>
  <c r="H50"/>
  <c r="R50"/>
  <c r="S50"/>
  <c r="P49"/>
  <c r="O49"/>
  <c r="N49"/>
  <c r="M49"/>
  <c r="L49"/>
  <c r="K49"/>
  <c r="J49"/>
  <c r="G49"/>
  <c r="H49"/>
  <c r="R49"/>
  <c r="S49"/>
  <c r="BK48"/>
  <c r="P48"/>
  <c r="O48"/>
  <c r="N48"/>
  <c r="M48"/>
  <c r="L48"/>
  <c r="K48"/>
  <c r="J48"/>
  <c r="G48"/>
  <c r="H48"/>
  <c r="R48"/>
  <c r="S48"/>
  <c r="P47"/>
  <c r="O47"/>
  <c r="N47"/>
  <c r="M47"/>
  <c r="L47"/>
  <c r="K47"/>
  <c r="J47"/>
  <c r="G47"/>
  <c r="H47"/>
  <c r="R47"/>
  <c r="S47"/>
  <c r="G44"/>
  <c r="H44"/>
  <c r="R44"/>
  <c r="S44"/>
  <c r="G43"/>
  <c r="R43"/>
  <c r="S43"/>
  <c r="P42"/>
  <c r="O42"/>
  <c r="N42"/>
  <c r="M42"/>
  <c r="L42"/>
  <c r="K42"/>
  <c r="J42"/>
  <c r="G42"/>
  <c r="H42"/>
  <c r="R42"/>
  <c r="S42"/>
  <c r="P41"/>
  <c r="O41"/>
  <c r="N41"/>
  <c r="M41"/>
  <c r="L41"/>
  <c r="K41"/>
  <c r="J41"/>
  <c r="G41"/>
  <c r="H41"/>
  <c r="R41"/>
  <c r="S41"/>
  <c r="P40"/>
  <c r="O40"/>
  <c r="N40"/>
  <c r="M40"/>
  <c r="L40"/>
  <c r="K40"/>
  <c r="J40"/>
  <c r="G40"/>
  <c r="H40"/>
  <c r="R40"/>
  <c r="S40"/>
  <c r="P39"/>
  <c r="O39"/>
  <c r="N39"/>
  <c r="M39"/>
  <c r="L39"/>
  <c r="K39"/>
  <c r="J39"/>
  <c r="G39"/>
  <c r="H39"/>
  <c r="R39"/>
  <c r="S39"/>
  <c r="Q19" i="26"/>
  <c r="O19"/>
  <c r="N19"/>
  <c r="M19"/>
  <c r="L19"/>
  <c r="H19"/>
  <c r="I19"/>
  <c r="P19"/>
  <c r="T19"/>
  <c r="U19"/>
  <c r="BH163" i="22"/>
  <c r="BH170"/>
  <c r="BO26"/>
  <c r="BH171"/>
  <c r="BO28"/>
  <c r="BO52"/>
  <c r="AL167"/>
  <c r="AL15" s="1"/>
  <c r="J15" s="1"/>
  <c r="AL168"/>
  <c r="J168"/>
  <c r="BH174"/>
  <c r="BH172"/>
  <c r="BH173"/>
  <c r="BI173"/>
  <c r="AB169"/>
  <c r="AC169"/>
  <c r="AM169"/>
  <c r="AN169"/>
  <c r="AO169"/>
  <c r="AP169"/>
  <c r="AS169"/>
  <c r="AT169"/>
  <c r="AU169"/>
  <c r="AV169"/>
  <c r="AW169"/>
  <c r="AX169"/>
  <c r="AY169"/>
  <c r="AZ169"/>
  <c r="BA169"/>
  <c r="M169"/>
  <c r="BB169"/>
  <c r="BC169"/>
  <c r="BD169"/>
  <c r="BE169"/>
  <c r="O169"/>
  <c r="BG169"/>
  <c r="AQ169"/>
  <c r="BH167"/>
  <c r="M162"/>
  <c r="Y156"/>
  <c r="Z156"/>
  <c r="AB156"/>
  <c r="AC156"/>
  <c r="AL156"/>
  <c r="AM156"/>
  <c r="AN156"/>
  <c r="AO156"/>
  <c r="AP156"/>
  <c r="AS156"/>
  <c r="AT156"/>
  <c r="AU156"/>
  <c r="AV156"/>
  <c r="AW156"/>
  <c r="AX156"/>
  <c r="S156" s="1"/>
  <c r="AY156"/>
  <c r="AZ156"/>
  <c r="BA156"/>
  <c r="BB156"/>
  <c r="BC156"/>
  <c r="BD156"/>
  <c r="BE156"/>
  <c r="BG156"/>
  <c r="AQ156"/>
  <c r="AA156"/>
  <c r="X150"/>
  <c r="Y150"/>
  <c r="Z150"/>
  <c r="AB150"/>
  <c r="AC150"/>
  <c r="AM150"/>
  <c r="AN150"/>
  <c r="AO150"/>
  <c r="AP150"/>
  <c r="AS150"/>
  <c r="AT150"/>
  <c r="AU150"/>
  <c r="AV150"/>
  <c r="AW150"/>
  <c r="AX150"/>
  <c r="AY150"/>
  <c r="AZ150"/>
  <c r="BA150"/>
  <c r="BB150"/>
  <c r="BC150"/>
  <c r="BG150"/>
  <c r="AQ150"/>
  <c r="AA150"/>
  <c r="X144"/>
  <c r="Y144"/>
  <c r="Z144"/>
  <c r="AB144"/>
  <c r="AC144"/>
  <c r="AM144"/>
  <c r="AN144"/>
  <c r="AO144"/>
  <c r="AP144"/>
  <c r="AS144"/>
  <c r="AT144"/>
  <c r="AU144"/>
  <c r="AV144"/>
  <c r="AW144"/>
  <c r="AX144"/>
  <c r="S144" s="1"/>
  <c r="AY144"/>
  <c r="AZ144"/>
  <c r="BA144"/>
  <c r="BB144"/>
  <c r="BC144"/>
  <c r="BD144"/>
  <c r="BE144"/>
  <c r="BG144"/>
  <c r="AQ144"/>
  <c r="AA144"/>
  <c r="X138"/>
  <c r="Y138"/>
  <c r="Z138"/>
  <c r="AB138"/>
  <c r="AC138"/>
  <c r="AN138"/>
  <c r="AO138"/>
  <c r="AP138"/>
  <c r="AS138"/>
  <c r="AT138"/>
  <c r="AU138"/>
  <c r="AV138"/>
  <c r="AW138"/>
  <c r="AX138"/>
  <c r="AY138"/>
  <c r="AZ138"/>
  <c r="BA138"/>
  <c r="BB138"/>
  <c r="BC138"/>
  <c r="BD138"/>
  <c r="BE138"/>
  <c r="O138"/>
  <c r="BG138"/>
  <c r="AQ138"/>
  <c r="AA138"/>
  <c r="X132"/>
  <c r="Y132"/>
  <c r="BH132" s="1"/>
  <c r="BI132" s="1"/>
  <c r="Z132"/>
  <c r="AB132"/>
  <c r="AC132"/>
  <c r="AL132"/>
  <c r="AM132"/>
  <c r="AN132"/>
  <c r="AO132"/>
  <c r="AP132"/>
  <c r="AS132"/>
  <c r="AT132"/>
  <c r="AU132"/>
  <c r="AV132"/>
  <c r="AW132"/>
  <c r="AX132"/>
  <c r="AY132"/>
  <c r="AZ132"/>
  <c r="BA132"/>
  <c r="BB132"/>
  <c r="BC132"/>
  <c r="BD132"/>
  <c r="BE132"/>
  <c r="N132" s="1"/>
  <c r="BG132"/>
  <c r="AQ132"/>
  <c r="AA132"/>
  <c r="X126"/>
  <c r="Y126"/>
  <c r="Z126"/>
  <c r="AB126"/>
  <c r="R126" s="1"/>
  <c r="AC126"/>
  <c r="AM126"/>
  <c r="AN126"/>
  <c r="AO126"/>
  <c r="AP126"/>
  <c r="AS126"/>
  <c r="AT126"/>
  <c r="AU126"/>
  <c r="AV126"/>
  <c r="AW126"/>
  <c r="AX126"/>
  <c r="AY126"/>
  <c r="AZ126"/>
  <c r="BA126"/>
  <c r="BB126"/>
  <c r="BC126"/>
  <c r="BD126"/>
  <c r="BE126"/>
  <c r="N126" s="1"/>
  <c r="BG126"/>
  <c r="AQ126"/>
  <c r="AA126"/>
  <c r="Y120"/>
  <c r="Z120"/>
  <c r="AB120"/>
  <c r="AC120"/>
  <c r="AM120"/>
  <c r="AN120"/>
  <c r="AO120"/>
  <c r="AP120"/>
  <c r="AS120"/>
  <c r="AT120"/>
  <c r="AU120"/>
  <c r="AV120"/>
  <c r="AW120"/>
  <c r="AX120"/>
  <c r="S120"/>
  <c r="AY120"/>
  <c r="AZ120"/>
  <c r="BA120"/>
  <c r="BB120"/>
  <c r="BC120"/>
  <c r="BD120"/>
  <c r="BE120"/>
  <c r="BG120"/>
  <c r="AQ120"/>
  <c r="AA120"/>
  <c r="X114"/>
  <c r="H114"/>
  <c r="Y114"/>
  <c r="Z114"/>
  <c r="AB114"/>
  <c r="AC114"/>
  <c r="AM114"/>
  <c r="AN114"/>
  <c r="AO114"/>
  <c r="AP114"/>
  <c r="AS114"/>
  <c r="AT114"/>
  <c r="AU114"/>
  <c r="AV114"/>
  <c r="AW114"/>
  <c r="AX114"/>
  <c r="S114" s="1"/>
  <c r="AY114"/>
  <c r="AZ114"/>
  <c r="M114"/>
  <c r="BA114"/>
  <c r="BB114"/>
  <c r="BC114"/>
  <c r="BD114"/>
  <c r="BE114"/>
  <c r="AQ114"/>
  <c r="AA114"/>
  <c r="R114"/>
  <c r="X108"/>
  <c r="Y108"/>
  <c r="H108" s="1"/>
  <c r="Z108"/>
  <c r="AB108"/>
  <c r="AC108"/>
  <c r="AM108"/>
  <c r="AN108"/>
  <c r="AO108"/>
  <c r="AP108"/>
  <c r="AS108"/>
  <c r="AT108"/>
  <c r="AU108"/>
  <c r="AV108"/>
  <c r="AW108"/>
  <c r="AX108"/>
  <c r="S108" s="1"/>
  <c r="AY108"/>
  <c r="AZ108"/>
  <c r="BA108"/>
  <c r="BB108"/>
  <c r="BC108"/>
  <c r="BD108"/>
  <c r="BE108"/>
  <c r="BG108"/>
  <c r="AQ108"/>
  <c r="AA108"/>
  <c r="R108"/>
  <c r="X102"/>
  <c r="Y102"/>
  <c r="Z102"/>
  <c r="AB102"/>
  <c r="AC102"/>
  <c r="AM102"/>
  <c r="AN102"/>
  <c r="AO102"/>
  <c r="AP102"/>
  <c r="AS102"/>
  <c r="AT102"/>
  <c r="AU102"/>
  <c r="AV102"/>
  <c r="AW102"/>
  <c r="AX102"/>
  <c r="S102"/>
  <c r="AY102"/>
  <c r="AZ102"/>
  <c r="BA102"/>
  <c r="M102"/>
  <c r="BB102"/>
  <c r="BC102"/>
  <c r="BD102"/>
  <c r="BE102"/>
  <c r="N102" s="1"/>
  <c r="AQ102"/>
  <c r="AA102"/>
  <c r="X96"/>
  <c r="Y96"/>
  <c r="Z96"/>
  <c r="AB96"/>
  <c r="AC96"/>
  <c r="AM96"/>
  <c r="AN96"/>
  <c r="AO96"/>
  <c r="AP96"/>
  <c r="AS96"/>
  <c r="AT96"/>
  <c r="AU96"/>
  <c r="AV96"/>
  <c r="AW96"/>
  <c r="AX96"/>
  <c r="S96" s="1"/>
  <c r="AY96"/>
  <c r="AZ96"/>
  <c r="BA96"/>
  <c r="BB96"/>
  <c r="BC96"/>
  <c r="BD96"/>
  <c r="BE96"/>
  <c r="N96" s="1"/>
  <c r="O96"/>
  <c r="BG96"/>
  <c r="AQ96"/>
  <c r="AA96"/>
  <c r="Z90"/>
  <c r="AB90"/>
  <c r="AC90"/>
  <c r="AM90"/>
  <c r="AN90"/>
  <c r="AO90"/>
  <c r="AP90"/>
  <c r="AS90"/>
  <c r="AT90"/>
  <c r="AU90"/>
  <c r="AV90"/>
  <c r="AW90"/>
  <c r="AX90"/>
  <c r="AY90"/>
  <c r="AZ90"/>
  <c r="BA90"/>
  <c r="BB90"/>
  <c r="BC90"/>
  <c r="BD90"/>
  <c r="BE90"/>
  <c r="N90"/>
  <c r="BG90"/>
  <c r="AQ90"/>
  <c r="AA90"/>
  <c r="Z84"/>
  <c r="AB84"/>
  <c r="AC84"/>
  <c r="AM84"/>
  <c r="AN84"/>
  <c r="AO84"/>
  <c r="AP84"/>
  <c r="AS84"/>
  <c r="AT84"/>
  <c r="AU84"/>
  <c r="AV84"/>
  <c r="AW84"/>
  <c r="AX84"/>
  <c r="AY84"/>
  <c r="AZ84"/>
  <c r="BA84"/>
  <c r="M84"/>
  <c r="BB84"/>
  <c r="BC84"/>
  <c r="BD84"/>
  <c r="BE84"/>
  <c r="BG84"/>
  <c r="AQ84"/>
  <c r="AA84"/>
  <c r="Z78"/>
  <c r="AB78"/>
  <c r="AC78"/>
  <c r="AM78"/>
  <c r="AN78"/>
  <c r="AO78"/>
  <c r="AP78"/>
  <c r="AS78"/>
  <c r="AT78"/>
  <c r="AU78"/>
  <c r="AV78"/>
  <c r="AW78"/>
  <c r="AX78"/>
  <c r="S78" s="1"/>
  <c r="AY78"/>
  <c r="AZ78"/>
  <c r="M78"/>
  <c r="BA78"/>
  <c r="BB78"/>
  <c r="BC78"/>
  <c r="BD78"/>
  <c r="BE78"/>
  <c r="N78"/>
  <c r="BG78"/>
  <c r="AQ78"/>
  <c r="AA78"/>
  <c r="X72"/>
  <c r="Y72"/>
  <c r="Z72"/>
  <c r="AB72"/>
  <c r="AC72"/>
  <c r="AM72"/>
  <c r="AN72"/>
  <c r="AO72"/>
  <c r="AP72"/>
  <c r="AS72"/>
  <c r="AT72"/>
  <c r="AU72"/>
  <c r="AV72"/>
  <c r="AW72"/>
  <c r="AX72"/>
  <c r="S72" s="1"/>
  <c r="AY72"/>
  <c r="AZ72"/>
  <c r="BA72"/>
  <c r="BB72"/>
  <c r="BC72"/>
  <c r="BD72"/>
  <c r="BE72"/>
  <c r="BG72"/>
  <c r="AQ72"/>
  <c r="AA72"/>
  <c r="Y66"/>
  <c r="H66" s="1"/>
  <c r="Z66"/>
  <c r="AB66"/>
  <c r="AC66"/>
  <c r="AM66"/>
  <c r="AN66"/>
  <c r="AO66"/>
  <c r="AP66"/>
  <c r="AS66"/>
  <c r="AT66"/>
  <c r="AU66"/>
  <c r="AV66"/>
  <c r="AW66"/>
  <c r="AX66"/>
  <c r="S66" s="1"/>
  <c r="AY66"/>
  <c r="AZ66"/>
  <c r="BA66"/>
  <c r="BB66"/>
  <c r="BC66"/>
  <c r="BD66"/>
  <c r="BE66"/>
  <c r="O66"/>
  <c r="BG66"/>
  <c r="AQ66"/>
  <c r="AA66"/>
  <c r="AL54"/>
  <c r="J54"/>
  <c r="AM54"/>
  <c r="AN54"/>
  <c r="AO54"/>
  <c r="AP54"/>
  <c r="AS54"/>
  <c r="AT54"/>
  <c r="AU54"/>
  <c r="AV54"/>
  <c r="AW54"/>
  <c r="AX54"/>
  <c r="S54" s="1"/>
  <c r="AY54"/>
  <c r="AZ54"/>
  <c r="BA54"/>
  <c r="BB54"/>
  <c r="BC54"/>
  <c r="BD54"/>
  <c r="BE54"/>
  <c r="BG54"/>
  <c r="AQ54"/>
  <c r="Z48"/>
  <c r="AB48"/>
  <c r="AC48"/>
  <c r="AM48"/>
  <c r="AN48"/>
  <c r="AO48"/>
  <c r="AP48"/>
  <c r="AS48"/>
  <c r="AT48"/>
  <c r="AU48"/>
  <c r="AV48"/>
  <c r="AW48"/>
  <c r="AX48"/>
  <c r="S48"/>
  <c r="AY48"/>
  <c r="AZ48"/>
  <c r="BA48"/>
  <c r="BB48"/>
  <c r="BC48"/>
  <c r="BD48"/>
  <c r="BE48"/>
  <c r="N48"/>
  <c r="BG48"/>
  <c r="AQ48"/>
  <c r="AA48"/>
  <c r="AS42"/>
  <c r="AT42"/>
  <c r="AU42"/>
  <c r="AV42"/>
  <c r="AW42"/>
  <c r="AX42"/>
  <c r="AY42"/>
  <c r="AZ42"/>
  <c r="BA42"/>
  <c r="M42" s="1"/>
  <c r="BB42"/>
  <c r="BC42"/>
  <c r="BD42"/>
  <c r="BE42"/>
  <c r="BG42"/>
  <c r="AB36"/>
  <c r="AC36"/>
  <c r="AM36"/>
  <c r="AN36"/>
  <c r="AO36"/>
  <c r="AP36"/>
  <c r="AS36"/>
  <c r="AT36"/>
  <c r="AU36"/>
  <c r="AV36"/>
  <c r="AW36"/>
  <c r="AX36"/>
  <c r="AY36"/>
  <c r="AZ36"/>
  <c r="BA36"/>
  <c r="BB36"/>
  <c r="BC36"/>
  <c r="BD36"/>
  <c r="N36"/>
  <c r="BG36"/>
  <c r="AQ36"/>
  <c r="AA36"/>
  <c r="Y30"/>
  <c r="Z30"/>
  <c r="AB30"/>
  <c r="AC30"/>
  <c r="AM30"/>
  <c r="AN30"/>
  <c r="AO30"/>
  <c r="AP30"/>
  <c r="AS30"/>
  <c r="AT30"/>
  <c r="AU30"/>
  <c r="AV30"/>
  <c r="AW30"/>
  <c r="AX30"/>
  <c r="AY30"/>
  <c r="AZ30"/>
  <c r="BA30"/>
  <c r="BB30"/>
  <c r="BC30"/>
  <c r="BD30"/>
  <c r="BE30"/>
  <c r="BG30"/>
  <c r="AQ30"/>
  <c r="AA30"/>
  <c r="E13"/>
  <c r="P13"/>
  <c r="R175"/>
  <c r="R168"/>
  <c r="R167"/>
  <c r="R170"/>
  <c r="R171"/>
  <c r="R172"/>
  <c r="R160"/>
  <c r="R159"/>
  <c r="R158"/>
  <c r="R157"/>
  <c r="R155"/>
  <c r="R154"/>
  <c r="R153"/>
  <c r="R152"/>
  <c r="R151"/>
  <c r="R149"/>
  <c r="R148"/>
  <c r="R146"/>
  <c r="R145"/>
  <c r="R143"/>
  <c r="R142"/>
  <c r="R141"/>
  <c r="R140"/>
  <c r="R139"/>
  <c r="R137"/>
  <c r="R136"/>
  <c r="R135"/>
  <c r="R133"/>
  <c r="R125"/>
  <c r="R124"/>
  <c r="R123"/>
  <c r="R122"/>
  <c r="R121"/>
  <c r="R119"/>
  <c r="R118"/>
  <c r="R117"/>
  <c r="R116"/>
  <c r="R115"/>
  <c r="R113"/>
  <c r="R112"/>
  <c r="R111"/>
  <c r="R110"/>
  <c r="R109"/>
  <c r="R107"/>
  <c r="R106"/>
  <c r="R105"/>
  <c r="R104"/>
  <c r="R103"/>
  <c r="R101"/>
  <c r="R100"/>
  <c r="R99"/>
  <c r="R97"/>
  <c r="R95"/>
  <c r="R94"/>
  <c r="R93"/>
  <c r="R92"/>
  <c r="R91"/>
  <c r="R89"/>
  <c r="R88"/>
  <c r="R87"/>
  <c r="R86"/>
  <c r="R85"/>
  <c r="R83"/>
  <c r="R82"/>
  <c r="R81"/>
  <c r="R80"/>
  <c r="R79"/>
  <c r="R77"/>
  <c r="R76"/>
  <c r="R75"/>
  <c r="R74"/>
  <c r="R73"/>
  <c r="R71"/>
  <c r="R68"/>
  <c r="R67"/>
  <c r="R65"/>
  <c r="R64"/>
  <c r="R63"/>
  <c r="R62"/>
  <c r="R61"/>
  <c r="R59"/>
  <c r="R58"/>
  <c r="R57"/>
  <c r="R56"/>
  <c r="R55"/>
  <c r="R47"/>
  <c r="R46"/>
  <c r="R45"/>
  <c r="R44"/>
  <c r="R43"/>
  <c r="R39"/>
  <c r="R33"/>
  <c r="R32"/>
  <c r="R26"/>
  <c r="R27"/>
  <c r="R28"/>
  <c r="R29"/>
  <c r="R25"/>
  <c r="AA17"/>
  <c r="Z17"/>
  <c r="AB17"/>
  <c r="AC17"/>
  <c r="BL175"/>
  <c r="BL17"/>
  <c r="BL168"/>
  <c r="BL167"/>
  <c r="BL15" s="1"/>
  <c r="BL164"/>
  <c r="BL165"/>
  <c r="BL166"/>
  <c r="BL170"/>
  <c r="BL171"/>
  <c r="BL161"/>
  <c r="BL160"/>
  <c r="BL159"/>
  <c r="BL158"/>
  <c r="BL157"/>
  <c r="BL162"/>
  <c r="BL155"/>
  <c r="BL154"/>
  <c r="BL153"/>
  <c r="BL152"/>
  <c r="BL151"/>
  <c r="BL149"/>
  <c r="BL148"/>
  <c r="BL147"/>
  <c r="BL146"/>
  <c r="BL145"/>
  <c r="BL143"/>
  <c r="BL142"/>
  <c r="BL141"/>
  <c r="BL140"/>
  <c r="BL139"/>
  <c r="BL144"/>
  <c r="BL137"/>
  <c r="BL136"/>
  <c r="BL135"/>
  <c r="BL134"/>
  <c r="BL133"/>
  <c r="BL131"/>
  <c r="BL130"/>
  <c r="BL129"/>
  <c r="BL128"/>
  <c r="BL127"/>
  <c r="BL125"/>
  <c r="BL124"/>
  <c r="BL123"/>
  <c r="BL122"/>
  <c r="BL121"/>
  <c r="BL119"/>
  <c r="BL118"/>
  <c r="BL117"/>
  <c r="BL116"/>
  <c r="BL115"/>
  <c r="BL113"/>
  <c r="BL112"/>
  <c r="BL111"/>
  <c r="BL110"/>
  <c r="BL109"/>
  <c r="BL107"/>
  <c r="BL106"/>
  <c r="BL105"/>
  <c r="BL104"/>
  <c r="BL103"/>
  <c r="BL101"/>
  <c r="BL100"/>
  <c r="BL99"/>
  <c r="BL98"/>
  <c r="BL97"/>
  <c r="BL95"/>
  <c r="BL94"/>
  <c r="BL93"/>
  <c r="BL92"/>
  <c r="BL91"/>
  <c r="BL96" s="1"/>
  <c r="BL89"/>
  <c r="BL88"/>
  <c r="BL87"/>
  <c r="BL86"/>
  <c r="BL85"/>
  <c r="BL83"/>
  <c r="BL82"/>
  <c r="BL81"/>
  <c r="BL80"/>
  <c r="BL79"/>
  <c r="BL77"/>
  <c r="BL76"/>
  <c r="BL75"/>
  <c r="BL74"/>
  <c r="BL73"/>
  <c r="BL71"/>
  <c r="BL70"/>
  <c r="BL69"/>
  <c r="BL68"/>
  <c r="BL67"/>
  <c r="BL72"/>
  <c r="BL65"/>
  <c r="BL64"/>
  <c r="BL63"/>
  <c r="BL62"/>
  <c r="BL61"/>
  <c r="BL59"/>
  <c r="BL58"/>
  <c r="BL57"/>
  <c r="BL56"/>
  <c r="BL55"/>
  <c r="BL47"/>
  <c r="BL46"/>
  <c r="BL45"/>
  <c r="BL44"/>
  <c r="BL43"/>
  <c r="BL41"/>
  <c r="BL40"/>
  <c r="BL39"/>
  <c r="BL38"/>
  <c r="BL37"/>
  <c r="BL34"/>
  <c r="BL33"/>
  <c r="BL32"/>
  <c r="BL26"/>
  <c r="BL27"/>
  <c r="BL28"/>
  <c r="BL29"/>
  <c r="BL25"/>
  <c r="AA176"/>
  <c r="W17"/>
  <c r="BO116"/>
  <c r="BO117"/>
  <c r="BO118"/>
  <c r="BO119"/>
  <c r="BJ143"/>
  <c r="G13" i="48"/>
  <c r="X176" i="22"/>
  <c r="AL166"/>
  <c r="BO166" s="1"/>
  <c r="AL165"/>
  <c r="AL164"/>
  <c r="BO164" s="1"/>
  <c r="BN37"/>
  <c r="BM40"/>
  <c r="BM39"/>
  <c r="BM38"/>
  <c r="BM37"/>
  <c r="BN41"/>
  <c r="BO168"/>
  <c r="BJ168"/>
  <c r="BK168"/>
  <c r="BM168"/>
  <c r="BN168"/>
  <c r="BJ113"/>
  <c r="BK113"/>
  <c r="BN113"/>
  <c r="BO113"/>
  <c r="BJ174"/>
  <c r="BK174"/>
  <c r="BL174"/>
  <c r="BM174"/>
  <c r="BO174"/>
  <c r="BJ119"/>
  <c r="BN119"/>
  <c r="BK143"/>
  <c r="BN143"/>
  <c r="BO143"/>
  <c r="BJ137"/>
  <c r="BO137"/>
  <c r="BN137"/>
  <c r="BJ95"/>
  <c r="BK95"/>
  <c r="BN95"/>
  <c r="BO95"/>
  <c r="BN40"/>
  <c r="BO40"/>
  <c r="BJ166"/>
  <c r="BK166"/>
  <c r="BM166"/>
  <c r="BM112"/>
  <c r="BO112"/>
  <c r="BN112"/>
  <c r="BJ173"/>
  <c r="BK173"/>
  <c r="BL173"/>
  <c r="BM173"/>
  <c r="BO173"/>
  <c r="BM148"/>
  <c r="BN148"/>
  <c r="BO148"/>
  <c r="BM142"/>
  <c r="BN142"/>
  <c r="BO142"/>
  <c r="BN136"/>
  <c r="BO136"/>
  <c r="BM118"/>
  <c r="BN118"/>
  <c r="BM88"/>
  <c r="BN88"/>
  <c r="BO88"/>
  <c r="BM76"/>
  <c r="BN76"/>
  <c r="BM46"/>
  <c r="BN46"/>
  <c r="BM94"/>
  <c r="BN94"/>
  <c r="BO94"/>
  <c r="BN39"/>
  <c r="BJ165"/>
  <c r="BK165"/>
  <c r="BM165"/>
  <c r="BM111"/>
  <c r="BN111"/>
  <c r="BO111"/>
  <c r="BJ172"/>
  <c r="BK172"/>
  <c r="BL172"/>
  <c r="BM172"/>
  <c r="BO172"/>
  <c r="BM123"/>
  <c r="BN123"/>
  <c r="BO123"/>
  <c r="BM117"/>
  <c r="BN117"/>
  <c r="BM105"/>
  <c r="BN105"/>
  <c r="BO105"/>
  <c r="BM45"/>
  <c r="BN45"/>
  <c r="BM141"/>
  <c r="BN141"/>
  <c r="BO135"/>
  <c r="BN135"/>
  <c r="BM93"/>
  <c r="BN93"/>
  <c r="BN38"/>
  <c r="BO38"/>
  <c r="BJ164"/>
  <c r="BK164"/>
  <c r="BM164"/>
  <c r="BM110"/>
  <c r="BO110"/>
  <c r="BN110"/>
  <c r="BJ171"/>
  <c r="BK171"/>
  <c r="BM171"/>
  <c r="BO171"/>
  <c r="BK146"/>
  <c r="BM146"/>
  <c r="BN146"/>
  <c r="BO146"/>
  <c r="BN44"/>
  <c r="BM116"/>
  <c r="BN116"/>
  <c r="BM140"/>
  <c r="BN140"/>
  <c r="BO140"/>
  <c r="BO134"/>
  <c r="BM134"/>
  <c r="BN134"/>
  <c r="BM92"/>
  <c r="BN92"/>
  <c r="BO92"/>
  <c r="BO37"/>
  <c r="BO163"/>
  <c r="BJ163"/>
  <c r="BK163"/>
  <c r="BL163"/>
  <c r="BM163"/>
  <c r="BM109"/>
  <c r="BN109"/>
  <c r="BO109"/>
  <c r="BJ170"/>
  <c r="BK170"/>
  <c r="BM170"/>
  <c r="BO170"/>
  <c r="BM115"/>
  <c r="BN115"/>
  <c r="BM139"/>
  <c r="BN139"/>
  <c r="BN144" s="1"/>
  <c r="BO139"/>
  <c r="BO133"/>
  <c r="BM133"/>
  <c r="BN133"/>
  <c r="BM91"/>
  <c r="BN91"/>
  <c r="BN96"/>
  <c r="BO91"/>
  <c r="BO167"/>
  <c r="BJ167"/>
  <c r="BJ15"/>
  <c r="BK167"/>
  <c r="BM167"/>
  <c r="BN167"/>
  <c r="BN15"/>
  <c r="BJ175"/>
  <c r="BJ17"/>
  <c r="BK175"/>
  <c r="BK17"/>
  <c r="BM175"/>
  <c r="BM17"/>
  <c r="BM145"/>
  <c r="BN145"/>
  <c r="BK147"/>
  <c r="BN147"/>
  <c r="BJ149"/>
  <c r="BK149"/>
  <c r="BN149"/>
  <c r="BM121"/>
  <c r="BN121"/>
  <c r="BO121"/>
  <c r="BM122"/>
  <c r="BN122"/>
  <c r="BM124"/>
  <c r="BN124"/>
  <c r="BJ125"/>
  <c r="BN125"/>
  <c r="BM103"/>
  <c r="BN103"/>
  <c r="BO103"/>
  <c r="BN104"/>
  <c r="BO104"/>
  <c r="BN106"/>
  <c r="BO106"/>
  <c r="BN107"/>
  <c r="BO107"/>
  <c r="BJ85"/>
  <c r="BN85"/>
  <c r="BO85"/>
  <c r="BJ86"/>
  <c r="BM86"/>
  <c r="BN86"/>
  <c r="BO86"/>
  <c r="BJ87"/>
  <c r="BN87"/>
  <c r="BJ89"/>
  <c r="BN89"/>
  <c r="BO89"/>
  <c r="BM73"/>
  <c r="BO73"/>
  <c r="BN73"/>
  <c r="BM74"/>
  <c r="BN74"/>
  <c r="BM75"/>
  <c r="BO75"/>
  <c r="BN75"/>
  <c r="BJ77"/>
  <c r="BK77"/>
  <c r="BN77"/>
  <c r="BM57"/>
  <c r="BN57"/>
  <c r="BM55"/>
  <c r="BN55"/>
  <c r="BM56"/>
  <c r="BN56"/>
  <c r="BO56"/>
  <c r="BM58"/>
  <c r="BN58"/>
  <c r="BJ59"/>
  <c r="BK59"/>
  <c r="BM59"/>
  <c r="BN59"/>
  <c r="BM43"/>
  <c r="BN43"/>
  <c r="BJ47"/>
  <c r="BN47"/>
  <c r="BM25"/>
  <c r="BN25"/>
  <c r="BN11" s="1"/>
  <c r="BO25"/>
  <c r="BM26"/>
  <c r="BN26"/>
  <c r="BM27"/>
  <c r="BN27"/>
  <c r="BO27"/>
  <c r="BM28"/>
  <c r="BN28"/>
  <c r="BN14" s="1"/>
  <c r="BJ29"/>
  <c r="BN29"/>
  <c r="BO29"/>
  <c r="BM31"/>
  <c r="BN31"/>
  <c r="BO31"/>
  <c r="BJ32"/>
  <c r="BM32"/>
  <c r="BN32"/>
  <c r="BO32"/>
  <c r="BM33"/>
  <c r="BN33"/>
  <c r="BN13" s="1"/>
  <c r="BO33"/>
  <c r="BJ34"/>
  <c r="BM34"/>
  <c r="BN34"/>
  <c r="BO34"/>
  <c r="BJ35"/>
  <c r="BK35"/>
  <c r="BN35"/>
  <c r="BO35"/>
  <c r="BN49"/>
  <c r="BO49"/>
  <c r="BN50"/>
  <c r="BO50"/>
  <c r="BN51"/>
  <c r="BN52"/>
  <c r="BJ53"/>
  <c r="BK53"/>
  <c r="BN53"/>
  <c r="BM61"/>
  <c r="BN61"/>
  <c r="BN66" s="1"/>
  <c r="BO61"/>
  <c r="BM62"/>
  <c r="BN62"/>
  <c r="BO62"/>
  <c r="BM63"/>
  <c r="BN63"/>
  <c r="BO63"/>
  <c r="BM64"/>
  <c r="BN64"/>
  <c r="BO64"/>
  <c r="BJ65"/>
  <c r="BN65"/>
  <c r="BM67"/>
  <c r="BN67"/>
  <c r="BM68"/>
  <c r="BN68"/>
  <c r="BM69"/>
  <c r="BN69"/>
  <c r="BM70"/>
  <c r="BN70"/>
  <c r="BN71"/>
  <c r="BJ79"/>
  <c r="BM79"/>
  <c r="BN79"/>
  <c r="BM80"/>
  <c r="BN80"/>
  <c r="BO80"/>
  <c r="BJ81"/>
  <c r="BM81"/>
  <c r="BN81"/>
  <c r="BO81"/>
  <c r="BM82"/>
  <c r="BN82"/>
  <c r="BO82"/>
  <c r="BJ83"/>
  <c r="BN83"/>
  <c r="BO83"/>
  <c r="BM97"/>
  <c r="BN97"/>
  <c r="BO97"/>
  <c r="BM98"/>
  <c r="BN98"/>
  <c r="BM99"/>
  <c r="BN99"/>
  <c r="BO99"/>
  <c r="BM100"/>
  <c r="BN100"/>
  <c r="BO100"/>
  <c r="BJ101"/>
  <c r="BN101"/>
  <c r="BM127"/>
  <c r="BN127"/>
  <c r="BN128"/>
  <c r="BN12" s="1"/>
  <c r="BN129"/>
  <c r="BN130"/>
  <c r="BN131"/>
  <c r="BO127"/>
  <c r="BM128"/>
  <c r="BO128"/>
  <c r="BM129"/>
  <c r="BO129"/>
  <c r="BM130"/>
  <c r="BO130"/>
  <c r="BJ131"/>
  <c r="BO131"/>
  <c r="BM151"/>
  <c r="BN151"/>
  <c r="BN152"/>
  <c r="BN153"/>
  <c r="BN154"/>
  <c r="BN155"/>
  <c r="BO151"/>
  <c r="BM152"/>
  <c r="BO152"/>
  <c r="BM153"/>
  <c r="BO153"/>
  <c r="BM154"/>
  <c r="BJ155"/>
  <c r="BO155"/>
  <c r="BJ157"/>
  <c r="BM157"/>
  <c r="BN157"/>
  <c r="BO158"/>
  <c r="BO159"/>
  <c r="BJ158"/>
  <c r="BM158"/>
  <c r="BN158"/>
  <c r="BN162" s="1"/>
  <c r="BJ159"/>
  <c r="BM159"/>
  <c r="BN159"/>
  <c r="BJ160"/>
  <c r="BJ162"/>
  <c r="BM160"/>
  <c r="BN160"/>
  <c r="BJ161"/>
  <c r="BN161"/>
  <c r="BL176"/>
  <c r="BM169"/>
  <c r="BJ169"/>
  <c r="BH164"/>
  <c r="BH165"/>
  <c r="BH166"/>
  <c r="BL150"/>
  <c r="BN138"/>
  <c r="BL132"/>
  <c r="BN126"/>
  <c r="BL120"/>
  <c r="BN120"/>
  <c r="BL114"/>
  <c r="BN114"/>
  <c r="BL108"/>
  <c r="BL102"/>
  <c r="BL90"/>
  <c r="BL78"/>
  <c r="BL60"/>
  <c r="BL48"/>
  <c r="BN42"/>
  <c r="P114"/>
  <c r="N114"/>
  <c r="L114"/>
  <c r="N113"/>
  <c r="M113"/>
  <c r="L113"/>
  <c r="K113"/>
  <c r="H113"/>
  <c r="S113"/>
  <c r="N112"/>
  <c r="M112"/>
  <c r="L112"/>
  <c r="K112"/>
  <c r="H112"/>
  <c r="S112"/>
  <c r="N111"/>
  <c r="M111"/>
  <c r="L111"/>
  <c r="K111"/>
  <c r="H111"/>
  <c r="S111"/>
  <c r="N110"/>
  <c r="M110"/>
  <c r="L110"/>
  <c r="K110"/>
  <c r="H110"/>
  <c r="S110"/>
  <c r="O109"/>
  <c r="N109"/>
  <c r="M109"/>
  <c r="L109"/>
  <c r="K109"/>
  <c r="H109"/>
  <c r="S109"/>
  <c r="BG17"/>
  <c r="AX17"/>
  <c r="AY17"/>
  <c r="AZ17"/>
  <c r="BA17"/>
  <c r="BB17"/>
  <c r="BC17"/>
  <c r="BD17"/>
  <c r="BN170"/>
  <c r="BN171"/>
  <c r="G14" i="48"/>
  <c r="BK13"/>
  <c r="BM13"/>
  <c r="BN13"/>
  <c r="BO13"/>
  <c r="P13"/>
  <c r="O13"/>
  <c r="N13"/>
  <c r="M13"/>
  <c r="J13"/>
  <c r="T13"/>
  <c r="U13"/>
  <c r="BK14"/>
  <c r="BL14"/>
  <c r="BM14"/>
  <c r="BN14"/>
  <c r="BI14"/>
  <c r="BJ14" s="1"/>
  <c r="BI20"/>
  <c r="BJ20" s="1"/>
  <c r="BK20"/>
  <c r="BL20"/>
  <c r="BM20"/>
  <c r="BN20"/>
  <c r="BO20"/>
  <c r="AK72" i="22"/>
  <c r="P72"/>
  <c r="AJ72"/>
  <c r="AI72"/>
  <c r="AH72"/>
  <c r="AF72"/>
  <c r="AE72"/>
  <c r="N72"/>
  <c r="H72"/>
  <c r="N71"/>
  <c r="M71"/>
  <c r="L71"/>
  <c r="K71"/>
  <c r="H71"/>
  <c r="S71"/>
  <c r="O68"/>
  <c r="N68"/>
  <c r="M68"/>
  <c r="L68"/>
  <c r="K68"/>
  <c r="H68"/>
  <c r="S68"/>
  <c r="N67"/>
  <c r="M67"/>
  <c r="L67"/>
  <c r="K67"/>
  <c r="H67"/>
  <c r="S67"/>
  <c r="N143"/>
  <c r="M143"/>
  <c r="L143"/>
  <c r="K143"/>
  <c r="H143"/>
  <c r="I143"/>
  <c r="S143"/>
  <c r="N142"/>
  <c r="M142"/>
  <c r="L142"/>
  <c r="K142"/>
  <c r="H142"/>
  <c r="S142"/>
  <c r="N141"/>
  <c r="M141"/>
  <c r="L141"/>
  <c r="K141"/>
  <c r="H141"/>
  <c r="S141"/>
  <c r="N140"/>
  <c r="M140"/>
  <c r="L140"/>
  <c r="K140"/>
  <c r="H140"/>
  <c r="S140"/>
  <c r="O139"/>
  <c r="N139"/>
  <c r="M139"/>
  <c r="L139"/>
  <c r="K139"/>
  <c r="H139"/>
  <c r="S139"/>
  <c r="AI12" i="24"/>
  <c r="H12"/>
  <c r="AI13"/>
  <c r="BF13"/>
  <c r="N13"/>
  <c r="M13"/>
  <c r="L13"/>
  <c r="Q13"/>
  <c r="AI16"/>
  <c r="BF16"/>
  <c r="BI16" s="1"/>
  <c r="N16"/>
  <c r="M16"/>
  <c r="L16"/>
  <c r="K16"/>
  <c r="J16"/>
  <c r="I16"/>
  <c r="E16"/>
  <c r="F16"/>
  <c r="P16"/>
  <c r="Q16"/>
  <c r="BI12" i="35"/>
  <c r="BL12" s="1"/>
  <c r="BH13"/>
  <c r="P13" s="1"/>
  <c r="BG13"/>
  <c r="O13"/>
  <c r="BF13"/>
  <c r="BE13"/>
  <c r="BE17" s="1"/>
  <c r="BD13"/>
  <c r="BD17" s="1"/>
  <c r="BC13"/>
  <c r="BC17" s="1"/>
  <c r="BB13"/>
  <c r="BB17" s="1"/>
  <c r="BA13"/>
  <c r="BA17" s="1"/>
  <c r="AZ13"/>
  <c r="AZ17" s="1"/>
  <c r="AY13"/>
  <c r="AY17" s="1"/>
  <c r="AX13"/>
  <c r="AX17" s="1"/>
  <c r="AW13"/>
  <c r="AW17" s="1"/>
  <c r="AV13"/>
  <c r="AV17" s="1"/>
  <c r="AU13"/>
  <c r="AU17" s="1"/>
  <c r="AT13"/>
  <c r="AT17" s="1"/>
  <c r="W13"/>
  <c r="X13"/>
  <c r="X17"/>
  <c r="Y13"/>
  <c r="Y17"/>
  <c r="Z13"/>
  <c r="AA13"/>
  <c r="AA17" s="1"/>
  <c r="AB13"/>
  <c r="AB17" s="1"/>
  <c r="AC13"/>
  <c r="AC17" s="1"/>
  <c r="AD13"/>
  <c r="AD17" s="1"/>
  <c r="AE13"/>
  <c r="AE17" s="1"/>
  <c r="AF13"/>
  <c r="AF17" s="1"/>
  <c r="AG13"/>
  <c r="AG17" s="1"/>
  <c r="AH13"/>
  <c r="AH17" s="1"/>
  <c r="AI13"/>
  <c r="AI17" s="1"/>
  <c r="AJ13"/>
  <c r="AJ17" s="1"/>
  <c r="AK13"/>
  <c r="AK17" s="1"/>
  <c r="AL11"/>
  <c r="BQ11" s="1"/>
  <c r="AL12"/>
  <c r="BQ12" s="1"/>
  <c r="AM13"/>
  <c r="K13" s="1"/>
  <c r="AN13"/>
  <c r="AN17" s="1"/>
  <c r="AO13"/>
  <c r="AO17" s="1"/>
  <c r="AQ13"/>
  <c r="AQ17" s="1"/>
  <c r="AR13"/>
  <c r="AR17" s="1"/>
  <c r="V13"/>
  <c r="G13" s="1"/>
  <c r="N13"/>
  <c r="BM15"/>
  <c r="BO15"/>
  <c r="BP15"/>
  <c r="AL15"/>
  <c r="P15"/>
  <c r="O15"/>
  <c r="N15"/>
  <c r="M15"/>
  <c r="L15"/>
  <c r="K15"/>
  <c r="G15"/>
  <c r="H15"/>
  <c r="R15"/>
  <c r="S15"/>
  <c r="BM12"/>
  <c r="BR12" s="1"/>
  <c r="BO12"/>
  <c r="BP12"/>
  <c r="P12"/>
  <c r="O12"/>
  <c r="N12"/>
  <c r="M12"/>
  <c r="L12"/>
  <c r="K12"/>
  <c r="G12"/>
  <c r="R12"/>
  <c r="S12"/>
  <c r="BM11"/>
  <c r="BM17"/>
  <c r="BO11"/>
  <c r="BP11"/>
  <c r="BP13" s="1"/>
  <c r="P11"/>
  <c r="Q11" s="1"/>
  <c r="T11" s="1"/>
  <c r="O11"/>
  <c r="N11"/>
  <c r="M11"/>
  <c r="L11"/>
  <c r="K11"/>
  <c r="G11"/>
  <c r="H11"/>
  <c r="I11"/>
  <c r="R11"/>
  <c r="S11"/>
  <c r="AJ10" i="36"/>
  <c r="BF10"/>
  <c r="BI10" s="1"/>
  <c r="N10"/>
  <c r="L10"/>
  <c r="K10"/>
  <c r="J10"/>
  <c r="I10"/>
  <c r="H10"/>
  <c r="F10"/>
  <c r="P10"/>
  <c r="Q10"/>
  <c r="O90" i="22"/>
  <c r="M90"/>
  <c r="K90"/>
  <c r="S90"/>
  <c r="N89"/>
  <c r="M89"/>
  <c r="L89"/>
  <c r="K89"/>
  <c r="S89"/>
  <c r="N88"/>
  <c r="M88"/>
  <c r="L88"/>
  <c r="K88"/>
  <c r="S88"/>
  <c r="N87"/>
  <c r="M87"/>
  <c r="L87"/>
  <c r="K87"/>
  <c r="S87"/>
  <c r="N86"/>
  <c r="M86"/>
  <c r="L86"/>
  <c r="K86"/>
  <c r="S86"/>
  <c r="O85"/>
  <c r="N85"/>
  <c r="M85"/>
  <c r="L85"/>
  <c r="K85"/>
  <c r="H85"/>
  <c r="S85"/>
  <c r="P120"/>
  <c r="O120"/>
  <c r="N120"/>
  <c r="K120"/>
  <c r="N119"/>
  <c r="M119"/>
  <c r="L119"/>
  <c r="K119"/>
  <c r="H119"/>
  <c r="S119"/>
  <c r="N118"/>
  <c r="M118"/>
  <c r="L118"/>
  <c r="K118"/>
  <c r="S118"/>
  <c r="N117"/>
  <c r="M117"/>
  <c r="L117"/>
  <c r="K117"/>
  <c r="S117"/>
  <c r="N116"/>
  <c r="M116"/>
  <c r="L116"/>
  <c r="K116"/>
  <c r="S116"/>
  <c r="O115"/>
  <c r="N115"/>
  <c r="M115"/>
  <c r="L115"/>
  <c r="K115"/>
  <c r="S115"/>
  <c r="AK36"/>
  <c r="P36"/>
  <c r="AJ36"/>
  <c r="AI36"/>
  <c r="AH36"/>
  <c r="AG36"/>
  <c r="AF36"/>
  <c r="AE36"/>
  <c r="S36"/>
  <c r="M35"/>
  <c r="S35"/>
  <c r="N34"/>
  <c r="M34"/>
  <c r="L34"/>
  <c r="K34"/>
  <c r="H34"/>
  <c r="S34"/>
  <c r="O33"/>
  <c r="N33"/>
  <c r="M33"/>
  <c r="L33"/>
  <c r="K33"/>
  <c r="S33"/>
  <c r="O32"/>
  <c r="N32"/>
  <c r="M32"/>
  <c r="L32"/>
  <c r="S32"/>
  <c r="N31"/>
  <c r="M31"/>
  <c r="L31"/>
  <c r="H31"/>
  <c r="S31"/>
  <c r="N83"/>
  <c r="M83"/>
  <c r="L83"/>
  <c r="K83"/>
  <c r="G83"/>
  <c r="S83"/>
  <c r="N82"/>
  <c r="M82"/>
  <c r="L82"/>
  <c r="K82"/>
  <c r="H82"/>
  <c r="S82"/>
  <c r="N81"/>
  <c r="M81"/>
  <c r="L81"/>
  <c r="K81"/>
  <c r="H81"/>
  <c r="S81"/>
  <c r="N80"/>
  <c r="M80"/>
  <c r="L80"/>
  <c r="K80"/>
  <c r="S80"/>
  <c r="O79"/>
  <c r="N79"/>
  <c r="M79"/>
  <c r="L79"/>
  <c r="K79"/>
  <c r="H79"/>
  <c r="S79"/>
  <c r="BG10" i="34"/>
  <c r="BI10"/>
  <c r="BJ10"/>
  <c r="M10"/>
  <c r="L10"/>
  <c r="K10"/>
  <c r="J10"/>
  <c r="AJ78" i="22"/>
  <c r="AI78"/>
  <c r="AH78"/>
  <c r="AG78"/>
  <c r="AF78"/>
  <c r="AE78"/>
  <c r="O78"/>
  <c r="K78"/>
  <c r="H78"/>
  <c r="N77"/>
  <c r="M77"/>
  <c r="L77"/>
  <c r="K77"/>
  <c r="G77"/>
  <c r="H77"/>
  <c r="S77"/>
  <c r="N76"/>
  <c r="M76"/>
  <c r="L76"/>
  <c r="K76"/>
  <c r="H76"/>
  <c r="S76"/>
  <c r="N75"/>
  <c r="M75"/>
  <c r="L75"/>
  <c r="K75"/>
  <c r="H75"/>
  <c r="S75"/>
  <c r="N74"/>
  <c r="M74"/>
  <c r="L74"/>
  <c r="K74"/>
  <c r="H74"/>
  <c r="S74"/>
  <c r="O73"/>
  <c r="N73"/>
  <c r="M73"/>
  <c r="L73"/>
  <c r="K73"/>
  <c r="H73"/>
  <c r="S73"/>
  <c r="AK126"/>
  <c r="P126" s="1"/>
  <c r="AJ126"/>
  <c r="AI126"/>
  <c r="AH126"/>
  <c r="AG126"/>
  <c r="AF126"/>
  <c r="AE126"/>
  <c r="M126"/>
  <c r="S126"/>
  <c r="N125"/>
  <c r="M125"/>
  <c r="L125"/>
  <c r="K125"/>
  <c r="H125"/>
  <c r="S125"/>
  <c r="N124"/>
  <c r="M124"/>
  <c r="L124"/>
  <c r="K124"/>
  <c r="H124"/>
  <c r="S124"/>
  <c r="N123"/>
  <c r="M123"/>
  <c r="L123"/>
  <c r="K123"/>
  <c r="H123"/>
  <c r="S123"/>
  <c r="N122"/>
  <c r="M122"/>
  <c r="L122"/>
  <c r="K122"/>
  <c r="H122"/>
  <c r="S122"/>
  <c r="O121"/>
  <c r="N121"/>
  <c r="M121"/>
  <c r="L121"/>
  <c r="K121"/>
  <c r="H121"/>
  <c r="S121"/>
  <c r="O102"/>
  <c r="K102"/>
  <c r="N101"/>
  <c r="M101"/>
  <c r="L101"/>
  <c r="K101"/>
  <c r="H101"/>
  <c r="S101"/>
  <c r="N100"/>
  <c r="M100"/>
  <c r="L100"/>
  <c r="K100"/>
  <c r="H100"/>
  <c r="S100"/>
  <c r="N99"/>
  <c r="M99"/>
  <c r="L99"/>
  <c r="K99"/>
  <c r="H99"/>
  <c r="S99"/>
  <c r="N97"/>
  <c r="M97"/>
  <c r="L97"/>
  <c r="K97"/>
  <c r="H97"/>
  <c r="S97"/>
  <c r="H49"/>
  <c r="L49"/>
  <c r="M49"/>
  <c r="N49"/>
  <c r="S49"/>
  <c r="H50"/>
  <c r="K50"/>
  <c r="L50"/>
  <c r="M50"/>
  <c r="N50"/>
  <c r="O50"/>
  <c r="S50"/>
  <c r="H51"/>
  <c r="K51"/>
  <c r="L51"/>
  <c r="M51"/>
  <c r="N51"/>
  <c r="O51"/>
  <c r="S51"/>
  <c r="H52"/>
  <c r="K52"/>
  <c r="L52"/>
  <c r="M52"/>
  <c r="N52"/>
  <c r="O52"/>
  <c r="S52"/>
  <c r="H53"/>
  <c r="K53"/>
  <c r="L53"/>
  <c r="M53"/>
  <c r="N53"/>
  <c r="S53"/>
  <c r="H54"/>
  <c r="K54"/>
  <c r="M54"/>
  <c r="N54"/>
  <c r="AJ42"/>
  <c r="AI42"/>
  <c r="AH42"/>
  <c r="O42"/>
  <c r="N42"/>
  <c r="L42"/>
  <c r="S42"/>
  <c r="N41"/>
  <c r="M41"/>
  <c r="G41"/>
  <c r="I41" s="1"/>
  <c r="S41"/>
  <c r="O40"/>
  <c r="N40"/>
  <c r="M40"/>
  <c r="L40"/>
  <c r="K40"/>
  <c r="S40"/>
  <c r="N39"/>
  <c r="M39"/>
  <c r="L39"/>
  <c r="S39"/>
  <c r="O38"/>
  <c r="N38"/>
  <c r="M38"/>
  <c r="L38"/>
  <c r="K38"/>
  <c r="H38"/>
  <c r="S38"/>
  <c r="N37"/>
  <c r="M37"/>
  <c r="L37"/>
  <c r="S37"/>
  <c r="N29"/>
  <c r="M29"/>
  <c r="L29"/>
  <c r="K29"/>
  <c r="H29"/>
  <c r="S29"/>
  <c r="O28"/>
  <c r="N28"/>
  <c r="M28"/>
  <c r="L28"/>
  <c r="K28"/>
  <c r="S28"/>
  <c r="O27"/>
  <c r="N27"/>
  <c r="M27"/>
  <c r="L27"/>
  <c r="K27"/>
  <c r="S27"/>
  <c r="O26"/>
  <c r="N26"/>
  <c r="M26"/>
  <c r="L26"/>
  <c r="K26"/>
  <c r="S26"/>
  <c r="O25"/>
  <c r="N25"/>
  <c r="M25"/>
  <c r="L25"/>
  <c r="K25"/>
  <c r="H25"/>
  <c r="S25"/>
  <c r="P162"/>
  <c r="N162"/>
  <c r="L162"/>
  <c r="S162"/>
  <c r="N160"/>
  <c r="M160"/>
  <c r="L160"/>
  <c r="K160"/>
  <c r="S160"/>
  <c r="N159"/>
  <c r="M159"/>
  <c r="L159"/>
  <c r="K159"/>
  <c r="H159"/>
  <c r="S159"/>
  <c r="N158"/>
  <c r="M158"/>
  <c r="L158"/>
  <c r="K158"/>
  <c r="H158"/>
  <c r="S158"/>
  <c r="O157"/>
  <c r="N157"/>
  <c r="M157"/>
  <c r="L157"/>
  <c r="K157"/>
  <c r="S157"/>
  <c r="AK17"/>
  <c r="P17" s="1"/>
  <c r="AJ17"/>
  <c r="AI17"/>
  <c r="AH17"/>
  <c r="AF17"/>
  <c r="AE17"/>
  <c r="AD17"/>
  <c r="N11"/>
  <c r="M11"/>
  <c r="P138"/>
  <c r="N138"/>
  <c r="S138"/>
  <c r="N137"/>
  <c r="M137"/>
  <c r="H137"/>
  <c r="S137"/>
  <c r="N136"/>
  <c r="M136"/>
  <c r="L136"/>
  <c r="K136"/>
  <c r="H136"/>
  <c r="S136"/>
  <c r="N135"/>
  <c r="M135"/>
  <c r="L135"/>
  <c r="H135"/>
  <c r="S135"/>
  <c r="N134"/>
  <c r="M134"/>
  <c r="H134"/>
  <c r="S134"/>
  <c r="O133"/>
  <c r="N133"/>
  <c r="M133"/>
  <c r="L133"/>
  <c r="K133"/>
  <c r="H133"/>
  <c r="S133"/>
  <c r="BG176"/>
  <c r="BF176"/>
  <c r="O176" s="1"/>
  <c r="BE176"/>
  <c r="BD176"/>
  <c r="BC176"/>
  <c r="BB176"/>
  <c r="BA176"/>
  <c r="AZ176"/>
  <c r="AY176"/>
  <c r="AX176"/>
  <c r="S176"/>
  <c r="AW176"/>
  <c r="AV176"/>
  <c r="AU176"/>
  <c r="AT176"/>
  <c r="AS176"/>
  <c r="L176"/>
  <c r="G176"/>
  <c r="Y176"/>
  <c r="Z176"/>
  <c r="AB176"/>
  <c r="R176" s="1"/>
  <c r="AC176"/>
  <c r="AD176"/>
  <c r="AE176"/>
  <c r="AF176"/>
  <c r="AH176"/>
  <c r="AI176"/>
  <c r="AJ176"/>
  <c r="AK176"/>
  <c r="P176"/>
  <c r="AM176"/>
  <c r="AN176"/>
  <c r="AO176"/>
  <c r="AO18"/>
  <c r="AP176"/>
  <c r="AQ176"/>
  <c r="AK156"/>
  <c r="P156"/>
  <c r="AJ156"/>
  <c r="AI156"/>
  <c r="AH156"/>
  <c r="AG156"/>
  <c r="AF156"/>
  <c r="AE156"/>
  <c r="O156"/>
  <c r="N156"/>
  <c r="M156"/>
  <c r="K156"/>
  <c r="H156"/>
  <c r="N155"/>
  <c r="M155"/>
  <c r="L155"/>
  <c r="K155"/>
  <c r="H155"/>
  <c r="S155"/>
  <c r="N154"/>
  <c r="M154"/>
  <c r="L154"/>
  <c r="K154"/>
  <c r="H154"/>
  <c r="S154"/>
  <c r="N153"/>
  <c r="M153"/>
  <c r="L153"/>
  <c r="K153"/>
  <c r="H153"/>
  <c r="S153"/>
  <c r="N152"/>
  <c r="M152"/>
  <c r="L152"/>
  <c r="K152"/>
  <c r="H152"/>
  <c r="S152"/>
  <c r="O151"/>
  <c r="N151"/>
  <c r="M151"/>
  <c r="L151"/>
  <c r="K151"/>
  <c r="H151"/>
  <c r="S151"/>
  <c r="AK150"/>
  <c r="P150"/>
  <c r="AJ150"/>
  <c r="AI150"/>
  <c r="AH150"/>
  <c r="AG150"/>
  <c r="AF150"/>
  <c r="AE150"/>
  <c r="O150"/>
  <c r="N150"/>
  <c r="M150"/>
  <c r="K150"/>
  <c r="S150"/>
  <c r="N149"/>
  <c r="M149"/>
  <c r="L149"/>
  <c r="K149"/>
  <c r="G149"/>
  <c r="H149"/>
  <c r="S149"/>
  <c r="N148"/>
  <c r="M148"/>
  <c r="L148"/>
  <c r="K148"/>
  <c r="H148"/>
  <c r="S148"/>
  <c r="T147"/>
  <c r="N146"/>
  <c r="M146"/>
  <c r="L146"/>
  <c r="K146"/>
  <c r="H146"/>
  <c r="S146"/>
  <c r="N145"/>
  <c r="M145"/>
  <c r="L145"/>
  <c r="H145"/>
  <c r="S145"/>
  <c r="AK60"/>
  <c r="P60"/>
  <c r="AJ60"/>
  <c r="AI60"/>
  <c r="AH60"/>
  <c r="AF60"/>
  <c r="AE60"/>
  <c r="N60"/>
  <c r="L60"/>
  <c r="S60"/>
  <c r="N59"/>
  <c r="M59"/>
  <c r="L59"/>
  <c r="K59"/>
  <c r="H59"/>
  <c r="I59"/>
  <c r="S59"/>
  <c r="N58"/>
  <c r="M58"/>
  <c r="L58"/>
  <c r="K58"/>
  <c r="S58"/>
  <c r="O57"/>
  <c r="N57"/>
  <c r="M57"/>
  <c r="L57"/>
  <c r="K57"/>
  <c r="H57"/>
  <c r="S57"/>
  <c r="N56"/>
  <c r="M56"/>
  <c r="L56"/>
  <c r="K56"/>
  <c r="S56"/>
  <c r="N55"/>
  <c r="M55"/>
  <c r="L55"/>
  <c r="K55"/>
  <c r="S55"/>
  <c r="AL44" i="45"/>
  <c r="BO43"/>
  <c r="BP43"/>
  <c r="N65" i="22"/>
  <c r="M65"/>
  <c r="L65"/>
  <c r="K65"/>
  <c r="H65"/>
  <c r="S65"/>
  <c r="N64"/>
  <c r="M64"/>
  <c r="L64"/>
  <c r="K64"/>
  <c r="H64"/>
  <c r="S64"/>
  <c r="N63"/>
  <c r="M63"/>
  <c r="L63"/>
  <c r="K63"/>
  <c r="H63"/>
  <c r="S63"/>
  <c r="N62"/>
  <c r="M62"/>
  <c r="L62"/>
  <c r="K62"/>
  <c r="S62"/>
  <c r="O61"/>
  <c r="N61"/>
  <c r="M61"/>
  <c r="L61"/>
  <c r="K61"/>
  <c r="H61"/>
  <c r="S61"/>
  <c r="BR46" i="45"/>
  <c r="BQ46"/>
  <c r="AL46"/>
  <c r="BO45"/>
  <c r="BP45"/>
  <c r="BJ10" i="38"/>
  <c r="BL10"/>
  <c r="N10"/>
  <c r="M10"/>
  <c r="L10"/>
  <c r="K10"/>
  <c r="I10"/>
  <c r="E10"/>
  <c r="Q10"/>
  <c r="AK132" i="22"/>
  <c r="P132"/>
  <c r="AJ132"/>
  <c r="AI132"/>
  <c r="AH132"/>
  <c r="AG132"/>
  <c r="AF132"/>
  <c r="AE132"/>
  <c r="L132"/>
  <c r="S132"/>
  <c r="N131"/>
  <c r="M131"/>
  <c r="L131"/>
  <c r="K131"/>
  <c r="H131"/>
  <c r="S131"/>
  <c r="N130"/>
  <c r="M130"/>
  <c r="L130"/>
  <c r="K130"/>
  <c r="H130"/>
  <c r="S130"/>
  <c r="N129"/>
  <c r="M129"/>
  <c r="L129"/>
  <c r="S129"/>
  <c r="N128"/>
  <c r="M128"/>
  <c r="L128"/>
  <c r="K128"/>
  <c r="H128"/>
  <c r="S128"/>
  <c r="N127"/>
  <c r="M127"/>
  <c r="L127"/>
  <c r="K127"/>
  <c r="H127"/>
  <c r="S127"/>
  <c r="P108"/>
  <c r="N108"/>
  <c r="N107"/>
  <c r="M107"/>
  <c r="L107"/>
  <c r="K107"/>
  <c r="H107"/>
  <c r="S107"/>
  <c r="N106"/>
  <c r="M106"/>
  <c r="L106"/>
  <c r="K106"/>
  <c r="H106"/>
  <c r="S106"/>
  <c r="N105"/>
  <c r="M105"/>
  <c r="L105"/>
  <c r="K105"/>
  <c r="H105"/>
  <c r="S105"/>
  <c r="N104"/>
  <c r="M104"/>
  <c r="L104"/>
  <c r="K104"/>
  <c r="H104"/>
  <c r="S104"/>
  <c r="O103"/>
  <c r="N103"/>
  <c r="M103"/>
  <c r="L103"/>
  <c r="K103"/>
  <c r="H103"/>
  <c r="S103"/>
  <c r="AK96"/>
  <c r="P96" s="1"/>
  <c r="AJ96"/>
  <c r="AI96"/>
  <c r="AH96"/>
  <c r="AG96"/>
  <c r="AF96"/>
  <c r="AE96"/>
  <c r="AD96"/>
  <c r="L96"/>
  <c r="H96"/>
  <c r="N95"/>
  <c r="M95"/>
  <c r="L95"/>
  <c r="K95"/>
  <c r="G95"/>
  <c r="H95"/>
  <c r="S95"/>
  <c r="N94"/>
  <c r="M94"/>
  <c r="L94"/>
  <c r="K94"/>
  <c r="H94"/>
  <c r="S94"/>
  <c r="N93"/>
  <c r="M93"/>
  <c r="L93"/>
  <c r="K93"/>
  <c r="H93"/>
  <c r="S93"/>
  <c r="N92"/>
  <c r="M92"/>
  <c r="L92"/>
  <c r="K92"/>
  <c r="H92"/>
  <c r="S92"/>
  <c r="N91"/>
  <c r="M91"/>
  <c r="L91"/>
  <c r="K91"/>
  <c r="H91"/>
  <c r="S91"/>
  <c r="BJ17" i="24"/>
  <c r="BK17"/>
  <c r="BL17"/>
  <c r="BM17"/>
  <c r="AI17"/>
  <c r="BN17" s="1"/>
  <c r="BO17" s="1"/>
  <c r="N17"/>
  <c r="M17"/>
  <c r="L17"/>
  <c r="K17"/>
  <c r="J17"/>
  <c r="I17"/>
  <c r="E17"/>
  <c r="F17"/>
  <c r="P17"/>
  <c r="Q17"/>
  <c r="BJ15"/>
  <c r="BK15"/>
  <c r="BL15"/>
  <c r="BM15"/>
  <c r="BO15" s="1"/>
  <c r="AI15"/>
  <c r="BN15"/>
  <c r="N15"/>
  <c r="M15"/>
  <c r="L15"/>
  <c r="K15"/>
  <c r="J15"/>
  <c r="I15"/>
  <c r="E15"/>
  <c r="F15"/>
  <c r="P15"/>
  <c r="Q15"/>
  <c r="BJ14"/>
  <c r="BK14"/>
  <c r="BL14"/>
  <c r="BM14"/>
  <c r="AI14"/>
  <c r="BF14" s="1"/>
  <c r="BI14" s="1"/>
  <c r="BN14"/>
  <c r="N14"/>
  <c r="M14"/>
  <c r="L14"/>
  <c r="K14"/>
  <c r="J14"/>
  <c r="E14"/>
  <c r="F14"/>
  <c r="P14"/>
  <c r="Q14"/>
  <c r="BI83" i="27"/>
  <c r="O22" i="26"/>
  <c r="P22"/>
  <c r="U22"/>
  <c r="D50" i="45"/>
  <c r="AD47"/>
  <c r="AE47"/>
  <c r="AF47"/>
  <c r="AG47"/>
  <c r="AH47"/>
  <c r="AI47"/>
  <c r="AJ47"/>
  <c r="AZ47"/>
  <c r="BC47"/>
  <c r="BD47"/>
  <c r="BP47"/>
  <c r="BP17" i="35"/>
  <c r="E11" i="25"/>
  <c r="G11"/>
  <c r="H11"/>
  <c r="J11"/>
  <c r="K11"/>
  <c r="L11"/>
  <c r="M11"/>
  <c r="N11"/>
  <c r="O11" s="1"/>
  <c r="R11" s="1"/>
  <c r="P11"/>
  <c r="Q11"/>
  <c r="BG11"/>
  <c r="BD10"/>
  <c r="BG10" s="1"/>
  <c r="M10"/>
  <c r="L10"/>
  <c r="K10"/>
  <c r="J10"/>
  <c r="I10"/>
  <c r="E10"/>
  <c r="F10"/>
  <c r="P10"/>
  <c r="Q10"/>
  <c r="BI69" i="40"/>
  <c r="BJ69"/>
  <c r="BI53"/>
  <c r="BJ53"/>
  <c r="S26"/>
  <c r="S69"/>
  <c r="G53"/>
  <c r="S45"/>
  <c r="S25"/>
  <c r="G24"/>
  <c r="H24"/>
  <c r="R24"/>
  <c r="S24"/>
  <c r="G23"/>
  <c r="H23"/>
  <c r="R23"/>
  <c r="S23"/>
  <c r="BK22"/>
  <c r="G22"/>
  <c r="H22"/>
  <c r="I22" s="1"/>
  <c r="Q22" s="1"/>
  <c r="T22" s="1"/>
  <c r="R22"/>
  <c r="S22"/>
  <c r="R21"/>
  <c r="S20"/>
  <c r="AQ14"/>
  <c r="AQ71" s="1"/>
  <c r="N14"/>
  <c r="R14"/>
  <c r="BI170" i="22"/>
  <c r="BI171"/>
  <c r="BI172"/>
  <c r="BI174"/>
  <c r="G175"/>
  <c r="H175"/>
  <c r="K175"/>
  <c r="L175"/>
  <c r="M175"/>
  <c r="N175"/>
  <c r="O175"/>
  <c r="S175"/>
  <c r="O17"/>
  <c r="M17"/>
  <c r="K17"/>
  <c r="G17"/>
  <c r="S17"/>
  <c r="N176"/>
  <c r="H176"/>
  <c r="I176" s="1"/>
  <c r="P174"/>
  <c r="Q174" s="1"/>
  <c r="T174" s="1"/>
  <c r="O174"/>
  <c r="N174"/>
  <c r="M174"/>
  <c r="L174"/>
  <c r="K174"/>
  <c r="J174"/>
  <c r="G174"/>
  <c r="H174"/>
  <c r="R174"/>
  <c r="S174"/>
  <c r="P173"/>
  <c r="O173"/>
  <c r="N173"/>
  <c r="M173"/>
  <c r="L173"/>
  <c r="K173"/>
  <c r="G173"/>
  <c r="H173"/>
  <c r="R173"/>
  <c r="S173"/>
  <c r="P172"/>
  <c r="O172"/>
  <c r="N172"/>
  <c r="M172"/>
  <c r="L172"/>
  <c r="K172"/>
  <c r="G172"/>
  <c r="H172"/>
  <c r="I172" s="1"/>
  <c r="S172"/>
  <c r="P171"/>
  <c r="O171"/>
  <c r="N171"/>
  <c r="M171"/>
  <c r="L171"/>
  <c r="K171"/>
  <c r="G171"/>
  <c r="H171"/>
  <c r="S171"/>
  <c r="P170"/>
  <c r="O170"/>
  <c r="N170"/>
  <c r="M170"/>
  <c r="L170"/>
  <c r="K170"/>
  <c r="G170"/>
  <c r="H170"/>
  <c r="S170"/>
  <c r="S16"/>
  <c r="N15"/>
  <c r="L15"/>
  <c r="H15"/>
  <c r="S14"/>
  <c r="N13"/>
  <c r="L13"/>
  <c r="S13"/>
  <c r="S11"/>
  <c r="N169"/>
  <c r="L169"/>
  <c r="S169"/>
  <c r="G167"/>
  <c r="H167"/>
  <c r="J167"/>
  <c r="K167"/>
  <c r="L167"/>
  <c r="M167"/>
  <c r="N167"/>
  <c r="P167"/>
  <c r="S167"/>
  <c r="G168"/>
  <c r="H168"/>
  <c r="K168"/>
  <c r="L168"/>
  <c r="M168"/>
  <c r="N168"/>
  <c r="O168"/>
  <c r="S168"/>
  <c r="P166"/>
  <c r="Q166" s="1"/>
  <c r="T166" s="1"/>
  <c r="O166"/>
  <c r="N166"/>
  <c r="M166"/>
  <c r="L166"/>
  <c r="K166"/>
  <c r="J166"/>
  <c r="G166"/>
  <c r="H166"/>
  <c r="R166"/>
  <c r="S166"/>
  <c r="P165"/>
  <c r="O165"/>
  <c r="N165"/>
  <c r="M165"/>
  <c r="L165"/>
  <c r="K165"/>
  <c r="G165"/>
  <c r="H165"/>
  <c r="R165"/>
  <c r="S165"/>
  <c r="P164"/>
  <c r="O164"/>
  <c r="Q164" s="1"/>
  <c r="T164" s="1"/>
  <c r="N164"/>
  <c r="M164"/>
  <c r="L164"/>
  <c r="K164"/>
  <c r="J164"/>
  <c r="G164"/>
  <c r="H164"/>
  <c r="I164"/>
  <c r="R164"/>
  <c r="S164"/>
  <c r="P163"/>
  <c r="O163"/>
  <c r="N163"/>
  <c r="M163"/>
  <c r="L163"/>
  <c r="K163"/>
  <c r="J163"/>
  <c r="G163"/>
  <c r="H163"/>
  <c r="R163"/>
  <c r="S163"/>
  <c r="N144"/>
  <c r="H144"/>
  <c r="O84"/>
  <c r="N84"/>
  <c r="L84"/>
  <c r="S84"/>
  <c r="N66"/>
  <c r="O48"/>
  <c r="N47"/>
  <c r="M47"/>
  <c r="L47"/>
  <c r="K47"/>
  <c r="H47"/>
  <c r="S47"/>
  <c r="O46"/>
  <c r="N46"/>
  <c r="M46"/>
  <c r="L46"/>
  <c r="K46"/>
  <c r="H46"/>
  <c r="S46"/>
  <c r="O45"/>
  <c r="N45"/>
  <c r="M45"/>
  <c r="L45"/>
  <c r="K45"/>
  <c r="H45"/>
  <c r="S45"/>
  <c r="O44"/>
  <c r="N44"/>
  <c r="M44"/>
  <c r="L44"/>
  <c r="K44"/>
  <c r="H44"/>
  <c r="S44"/>
  <c r="O43"/>
  <c r="N43"/>
  <c r="M43"/>
  <c r="L43"/>
  <c r="K43"/>
  <c r="H43"/>
  <c r="S43"/>
  <c r="N30"/>
  <c r="M30"/>
  <c r="L30"/>
  <c r="S30"/>
  <c r="AK169"/>
  <c r="P169" s="1"/>
  <c r="AJ169"/>
  <c r="AI169"/>
  <c r="AH169"/>
  <c r="AG169"/>
  <c r="AF169"/>
  <c r="AE169"/>
  <c r="AD169"/>
  <c r="BI166"/>
  <c r="BI165"/>
  <c r="BI164"/>
  <c r="BI163"/>
  <c r="P144"/>
  <c r="AK66"/>
  <c r="P66" s="1"/>
  <c r="AJ66"/>
  <c r="AI66"/>
  <c r="AH66"/>
  <c r="AE66"/>
  <c r="AD30"/>
  <c r="AE30"/>
  <c r="AF30"/>
  <c r="AG30"/>
  <c r="AH30"/>
  <c r="AI30"/>
  <c r="AJ30"/>
  <c r="AK30"/>
  <c r="BO57" i="45"/>
  <c r="BQ57"/>
  <c r="BS57"/>
  <c r="BO54"/>
  <c r="BQ54"/>
  <c r="BR54"/>
  <c r="BS54"/>
  <c r="BH50"/>
  <c r="O50"/>
  <c r="BG50"/>
  <c r="BF50"/>
  <c r="M50" s="1"/>
  <c r="BE50"/>
  <c r="BD50"/>
  <c r="BC50"/>
  <c r="BB50"/>
  <c r="BA50"/>
  <c r="AZ50"/>
  <c r="AY50"/>
  <c r="AX50"/>
  <c r="AW50"/>
  <c r="AV50"/>
  <c r="AU50"/>
  <c r="AT50"/>
  <c r="K50"/>
  <c r="W50"/>
  <c r="Y50"/>
  <c r="G50" s="1"/>
  <c r="Z50"/>
  <c r="AB50"/>
  <c r="AC50"/>
  <c r="AD50"/>
  <c r="AE50"/>
  <c r="AF50"/>
  <c r="AG50"/>
  <c r="AH50"/>
  <c r="AI50"/>
  <c r="AJ50"/>
  <c r="AK50"/>
  <c r="P50"/>
  <c r="AL50"/>
  <c r="I50"/>
  <c r="AM50"/>
  <c r="AN50"/>
  <c r="AO50"/>
  <c r="AQ50"/>
  <c r="AR50"/>
  <c r="BD26"/>
  <c r="BC26"/>
  <c r="AZ26"/>
  <c r="AD26"/>
  <c r="AE26"/>
  <c r="AF26"/>
  <c r="AG26"/>
  <c r="AH26"/>
  <c r="AI26"/>
  <c r="AJ26"/>
  <c r="AK26"/>
  <c r="BQ19"/>
  <c r="BS19"/>
  <c r="BR16"/>
  <c r="BJ11" i="33"/>
  <c r="BK11"/>
  <c r="BL11"/>
  <c r="BM16" i="24"/>
  <c r="BM13"/>
  <c r="BM12"/>
  <c r="BM11"/>
  <c r="X10" i="32"/>
  <c r="Z10"/>
  <c r="AA10"/>
  <c r="AB10"/>
  <c r="AC10"/>
  <c r="AG10"/>
  <c r="AD10"/>
  <c r="AE10"/>
  <c r="AF10"/>
  <c r="AI10"/>
  <c r="AH10"/>
  <c r="AK10"/>
  <c r="AL10"/>
  <c r="AM10"/>
  <c r="AN10"/>
  <c r="AQ10"/>
  <c r="AR10"/>
  <c r="AS10"/>
  <c r="AT10"/>
  <c r="AU10"/>
  <c r="AV10"/>
  <c r="AW10"/>
  <c r="AX10"/>
  <c r="AY10"/>
  <c r="AZ10"/>
  <c r="BA10"/>
  <c r="BB10"/>
  <c r="BC10"/>
  <c r="BD10"/>
  <c r="BE10"/>
  <c r="AO10"/>
  <c r="Y10"/>
  <c r="BJ12" i="24"/>
  <c r="BK12"/>
  <c r="BK13"/>
  <c r="BL12"/>
  <c r="BJ13"/>
  <c r="BL13"/>
  <c r="BN13"/>
  <c r="BJ16"/>
  <c r="BK16"/>
  <c r="BL16"/>
  <c r="BN16"/>
  <c r="C11"/>
  <c r="BH11"/>
  <c r="BG11"/>
  <c r="BE11"/>
  <c r="BD11"/>
  <c r="BC11"/>
  <c r="BB11"/>
  <c r="BA11"/>
  <c r="AZ11"/>
  <c r="AY11"/>
  <c r="AX11"/>
  <c r="AW11"/>
  <c r="AV11"/>
  <c r="Q11" s="1"/>
  <c r="AU11"/>
  <c r="AT11"/>
  <c r="AS11"/>
  <c r="AR11"/>
  <c r="AQ11"/>
  <c r="U11"/>
  <c r="V11"/>
  <c r="W11"/>
  <c r="X11"/>
  <c r="Y11"/>
  <c r="Z11"/>
  <c r="AA11"/>
  <c r="AB11"/>
  <c r="AC11"/>
  <c r="AD11"/>
  <c r="AE11"/>
  <c r="AF11"/>
  <c r="AG11"/>
  <c r="AH11"/>
  <c r="AI11"/>
  <c r="H11"/>
  <c r="AJ11"/>
  <c r="AK11"/>
  <c r="AL11"/>
  <c r="AM11"/>
  <c r="T11"/>
  <c r="BJ10" i="32"/>
  <c r="F80" i="27"/>
  <c r="C67"/>
  <c r="C79"/>
  <c r="C25"/>
  <c r="C34"/>
  <c r="C64"/>
  <c r="C49"/>
  <c r="C85"/>
  <c r="C16"/>
  <c r="C19"/>
  <c r="AF17" s="1"/>
  <c r="C22"/>
  <c r="AF20" s="1"/>
  <c r="C28"/>
  <c r="AF26" s="1"/>
  <c r="C40"/>
  <c r="AF38" s="1"/>
  <c r="C43"/>
  <c r="BC41" s="1"/>
  <c r="M41" s="1"/>
  <c r="E43"/>
  <c r="C46"/>
  <c r="C55"/>
  <c r="AF53" s="1"/>
  <c r="C58"/>
  <c r="BC56" s="1"/>
  <c r="C61"/>
  <c r="AF59" s="1"/>
  <c r="C76"/>
  <c r="C82"/>
  <c r="BB16"/>
  <c r="BB19"/>
  <c r="BK19"/>
  <c r="BB22"/>
  <c r="BB25"/>
  <c r="BK25" s="1"/>
  <c r="BB28"/>
  <c r="BB31"/>
  <c r="BK31"/>
  <c r="BB34"/>
  <c r="BB37"/>
  <c r="BK37" s="1"/>
  <c r="BB40"/>
  <c r="BK40" s="1"/>
  <c r="BB43"/>
  <c r="BK43" s="1"/>
  <c r="AI44"/>
  <c r="AI45"/>
  <c r="BB46"/>
  <c r="BB49"/>
  <c r="BK49"/>
  <c r="L49"/>
  <c r="BB52"/>
  <c r="BK52" s="1"/>
  <c r="BB55"/>
  <c r="BK55" s="1"/>
  <c r="BB58"/>
  <c r="BK58" s="1"/>
  <c r="BB61"/>
  <c r="BK61" s="1"/>
  <c r="BB64"/>
  <c r="BK64" s="1"/>
  <c r="BB67"/>
  <c r="BB73"/>
  <c r="BK73"/>
  <c r="AI74"/>
  <c r="AI75"/>
  <c r="BE75" s="1"/>
  <c r="BF75" s="1"/>
  <c r="BB76"/>
  <c r="AI77"/>
  <c r="AI78"/>
  <c r="BB79"/>
  <c r="L79" s="1"/>
  <c r="BB82"/>
  <c r="BK82" s="1"/>
  <c r="L82"/>
  <c r="AI84"/>
  <c r="BB85"/>
  <c r="L85" s="1"/>
  <c r="BE45"/>
  <c r="BF45" s="1"/>
  <c r="BE78"/>
  <c r="BE84"/>
  <c r="BF84" s="1"/>
  <c r="BF78"/>
  <c r="K12"/>
  <c r="Q12"/>
  <c r="K85"/>
  <c r="I85"/>
  <c r="N84"/>
  <c r="M84"/>
  <c r="L84"/>
  <c r="K84"/>
  <c r="J84"/>
  <c r="I84"/>
  <c r="H84"/>
  <c r="E84"/>
  <c r="F84"/>
  <c r="G84" s="1"/>
  <c r="P84"/>
  <c r="Q84"/>
  <c r="N83"/>
  <c r="L83"/>
  <c r="J83"/>
  <c r="I83"/>
  <c r="Q83"/>
  <c r="N82"/>
  <c r="Q82"/>
  <c r="N81"/>
  <c r="L81"/>
  <c r="K81"/>
  <c r="J81"/>
  <c r="I81"/>
  <c r="Q81"/>
  <c r="N80"/>
  <c r="L80"/>
  <c r="K80"/>
  <c r="J80"/>
  <c r="I80"/>
  <c r="Q80"/>
  <c r="M79"/>
  <c r="K79"/>
  <c r="I79"/>
  <c r="Q79"/>
  <c r="N78"/>
  <c r="M78"/>
  <c r="L78"/>
  <c r="K78"/>
  <c r="J78"/>
  <c r="I78"/>
  <c r="H78"/>
  <c r="E78"/>
  <c r="F78"/>
  <c r="G78"/>
  <c r="P78"/>
  <c r="Q78"/>
  <c r="N77"/>
  <c r="M77"/>
  <c r="L77"/>
  <c r="K77"/>
  <c r="J77"/>
  <c r="I77"/>
  <c r="E77"/>
  <c r="F77"/>
  <c r="G77" s="1"/>
  <c r="P77"/>
  <c r="Q77"/>
  <c r="N76"/>
  <c r="L76"/>
  <c r="K76"/>
  <c r="J76"/>
  <c r="I76"/>
  <c r="P76"/>
  <c r="Q76"/>
  <c r="N75"/>
  <c r="M75"/>
  <c r="O75" s="1"/>
  <c r="R75" s="1"/>
  <c r="L75"/>
  <c r="K75"/>
  <c r="J75"/>
  <c r="I75"/>
  <c r="H75"/>
  <c r="E75"/>
  <c r="F75"/>
  <c r="G75"/>
  <c r="P75"/>
  <c r="Q75"/>
  <c r="N74"/>
  <c r="L74"/>
  <c r="K74"/>
  <c r="J74"/>
  <c r="I74"/>
  <c r="P74"/>
  <c r="Q74"/>
  <c r="N73"/>
  <c r="M73"/>
  <c r="L73"/>
  <c r="K73"/>
  <c r="J73"/>
  <c r="I73"/>
  <c r="E73"/>
  <c r="F73"/>
  <c r="G73"/>
  <c r="P73"/>
  <c r="Q73"/>
  <c r="N72"/>
  <c r="L72"/>
  <c r="K72"/>
  <c r="J72"/>
  <c r="I72"/>
  <c r="F72"/>
  <c r="P72"/>
  <c r="Q72"/>
  <c r="N71"/>
  <c r="L71"/>
  <c r="K71"/>
  <c r="J71"/>
  <c r="I71"/>
  <c r="F71"/>
  <c r="P71"/>
  <c r="Q71"/>
  <c r="M67"/>
  <c r="K67"/>
  <c r="I67"/>
  <c r="P67"/>
  <c r="N66"/>
  <c r="L66"/>
  <c r="K66"/>
  <c r="J66"/>
  <c r="I66"/>
  <c r="F66"/>
  <c r="G66" s="1"/>
  <c r="P66"/>
  <c r="Q66"/>
  <c r="N65"/>
  <c r="L65"/>
  <c r="K65"/>
  <c r="J65"/>
  <c r="I65"/>
  <c r="F65"/>
  <c r="P65"/>
  <c r="Q65"/>
  <c r="L64"/>
  <c r="J64"/>
  <c r="F64"/>
  <c r="Q64"/>
  <c r="N63"/>
  <c r="L63"/>
  <c r="K63"/>
  <c r="J63"/>
  <c r="I63"/>
  <c r="F63"/>
  <c r="G63"/>
  <c r="P63"/>
  <c r="Q63"/>
  <c r="N62"/>
  <c r="L62"/>
  <c r="K62"/>
  <c r="J62"/>
  <c r="I62"/>
  <c r="E62"/>
  <c r="F62"/>
  <c r="P62"/>
  <c r="Q62"/>
  <c r="N61"/>
  <c r="L61"/>
  <c r="K61"/>
  <c r="J61"/>
  <c r="I61"/>
  <c r="F61"/>
  <c r="P61"/>
  <c r="Q61"/>
  <c r="N60"/>
  <c r="L60"/>
  <c r="K60"/>
  <c r="J60"/>
  <c r="I60"/>
  <c r="E60"/>
  <c r="F60"/>
  <c r="G60" s="1"/>
  <c r="P60"/>
  <c r="Q60"/>
  <c r="N59"/>
  <c r="L59"/>
  <c r="K59"/>
  <c r="J59"/>
  <c r="I59"/>
  <c r="E59"/>
  <c r="F59"/>
  <c r="P59"/>
  <c r="Q59"/>
  <c r="N58"/>
  <c r="M58"/>
  <c r="L58"/>
  <c r="K58"/>
  <c r="J58"/>
  <c r="I58"/>
  <c r="F58"/>
  <c r="P58"/>
  <c r="Q58"/>
  <c r="N57"/>
  <c r="L57"/>
  <c r="K57"/>
  <c r="J57"/>
  <c r="I57"/>
  <c r="E57"/>
  <c r="G57"/>
  <c r="F57"/>
  <c r="P57"/>
  <c r="Q57"/>
  <c r="N56"/>
  <c r="L56"/>
  <c r="K56"/>
  <c r="J56"/>
  <c r="I56"/>
  <c r="F56"/>
  <c r="P56"/>
  <c r="Q56"/>
  <c r="N55"/>
  <c r="M55"/>
  <c r="L55"/>
  <c r="K55"/>
  <c r="J55"/>
  <c r="I55"/>
  <c r="E55"/>
  <c r="G55" s="1"/>
  <c r="F55"/>
  <c r="P55"/>
  <c r="Q55"/>
  <c r="N54"/>
  <c r="L54"/>
  <c r="K54"/>
  <c r="J54"/>
  <c r="I54"/>
  <c r="E54"/>
  <c r="F54"/>
  <c r="P54"/>
  <c r="Q54"/>
  <c r="N53"/>
  <c r="L53"/>
  <c r="K53"/>
  <c r="J53"/>
  <c r="I53"/>
  <c r="E53"/>
  <c r="F53"/>
  <c r="P53"/>
  <c r="Q53"/>
  <c r="N52"/>
  <c r="M52"/>
  <c r="L52"/>
  <c r="K52"/>
  <c r="J52"/>
  <c r="I52"/>
  <c r="F52"/>
  <c r="P52"/>
  <c r="Q52"/>
  <c r="N51"/>
  <c r="L51"/>
  <c r="K51"/>
  <c r="J51"/>
  <c r="I51"/>
  <c r="F51"/>
  <c r="P51"/>
  <c r="Q51"/>
  <c r="N50"/>
  <c r="L50"/>
  <c r="K50"/>
  <c r="J50"/>
  <c r="I50"/>
  <c r="F50"/>
  <c r="P50"/>
  <c r="Q50"/>
  <c r="K49"/>
  <c r="P49"/>
  <c r="N48"/>
  <c r="L48"/>
  <c r="K48"/>
  <c r="J48"/>
  <c r="I48"/>
  <c r="F48"/>
  <c r="G48"/>
  <c r="P48"/>
  <c r="Q48"/>
  <c r="N47"/>
  <c r="L47"/>
  <c r="K47"/>
  <c r="J47"/>
  <c r="I47"/>
  <c r="E47"/>
  <c r="F47"/>
  <c r="G47"/>
  <c r="P47"/>
  <c r="Q47"/>
  <c r="N46"/>
  <c r="L46"/>
  <c r="J46"/>
  <c r="E46"/>
  <c r="Q46"/>
  <c r="N45"/>
  <c r="M45"/>
  <c r="L45"/>
  <c r="K45"/>
  <c r="J45"/>
  <c r="I45"/>
  <c r="H45"/>
  <c r="E45"/>
  <c r="F45"/>
  <c r="G45" s="1"/>
  <c r="P45"/>
  <c r="Q45"/>
  <c r="N44"/>
  <c r="M44"/>
  <c r="L44"/>
  <c r="K44"/>
  <c r="J44"/>
  <c r="I44"/>
  <c r="E44"/>
  <c r="F44"/>
  <c r="G44"/>
  <c r="P44"/>
  <c r="Q44"/>
  <c r="N43"/>
  <c r="M43"/>
  <c r="L43"/>
  <c r="K43"/>
  <c r="J43"/>
  <c r="I43"/>
  <c r="F43"/>
  <c r="P43"/>
  <c r="Q43"/>
  <c r="N42"/>
  <c r="L42"/>
  <c r="K42"/>
  <c r="J42"/>
  <c r="I42"/>
  <c r="E42"/>
  <c r="F42"/>
  <c r="P42"/>
  <c r="Q42"/>
  <c r="N41"/>
  <c r="L41"/>
  <c r="K41"/>
  <c r="J41"/>
  <c r="I41"/>
  <c r="F41"/>
  <c r="P41"/>
  <c r="Q41"/>
  <c r="N40"/>
  <c r="L40"/>
  <c r="K40"/>
  <c r="J40"/>
  <c r="I40"/>
  <c r="F40"/>
  <c r="P40"/>
  <c r="Q40"/>
  <c r="N39"/>
  <c r="L39"/>
  <c r="K39"/>
  <c r="J39"/>
  <c r="I39"/>
  <c r="E39"/>
  <c r="G39" s="1"/>
  <c r="F39"/>
  <c r="P39"/>
  <c r="Q39"/>
  <c r="N38"/>
  <c r="L38"/>
  <c r="K38"/>
  <c r="J38"/>
  <c r="I38"/>
  <c r="F38"/>
  <c r="P38"/>
  <c r="Q38"/>
  <c r="N37"/>
  <c r="L37"/>
  <c r="K37"/>
  <c r="J37"/>
  <c r="I37"/>
  <c r="F37"/>
  <c r="P37"/>
  <c r="Q37"/>
  <c r="N36"/>
  <c r="L36"/>
  <c r="K36"/>
  <c r="J36"/>
  <c r="I36"/>
  <c r="F36"/>
  <c r="P36"/>
  <c r="Q36"/>
  <c r="N35"/>
  <c r="L35"/>
  <c r="K35"/>
  <c r="J35"/>
  <c r="I35"/>
  <c r="F35"/>
  <c r="P35"/>
  <c r="Q35"/>
  <c r="N34"/>
  <c r="K34"/>
  <c r="I34"/>
  <c r="P34"/>
  <c r="N33"/>
  <c r="L33"/>
  <c r="K33"/>
  <c r="J33"/>
  <c r="I33"/>
  <c r="F33"/>
  <c r="G33" s="1"/>
  <c r="P33"/>
  <c r="Q33"/>
  <c r="N32"/>
  <c r="L32"/>
  <c r="K32"/>
  <c r="J32"/>
  <c r="I32"/>
  <c r="E32"/>
  <c r="F32"/>
  <c r="P32"/>
  <c r="Q32"/>
  <c r="N31"/>
  <c r="M31"/>
  <c r="L31"/>
  <c r="K31"/>
  <c r="J31"/>
  <c r="I31"/>
  <c r="F31"/>
  <c r="P31"/>
  <c r="Q31"/>
  <c r="N30"/>
  <c r="L30"/>
  <c r="K30"/>
  <c r="J30"/>
  <c r="I30"/>
  <c r="F30"/>
  <c r="P30"/>
  <c r="Q30"/>
  <c r="N29"/>
  <c r="L29"/>
  <c r="K29"/>
  <c r="J29"/>
  <c r="I29"/>
  <c r="F29"/>
  <c r="P29"/>
  <c r="Q29"/>
  <c r="N28"/>
  <c r="M28"/>
  <c r="K28"/>
  <c r="J28"/>
  <c r="I28"/>
  <c r="E28"/>
  <c r="F28"/>
  <c r="G28" s="1"/>
  <c r="P28"/>
  <c r="Q28"/>
  <c r="N27"/>
  <c r="L27"/>
  <c r="K27"/>
  <c r="J27"/>
  <c r="I27"/>
  <c r="E27"/>
  <c r="F27"/>
  <c r="G27" s="1"/>
  <c r="P27"/>
  <c r="Q27"/>
  <c r="N26"/>
  <c r="L26"/>
  <c r="K26"/>
  <c r="J26"/>
  <c r="I26"/>
  <c r="E26"/>
  <c r="F26"/>
  <c r="P26"/>
  <c r="Q26"/>
  <c r="M25"/>
  <c r="I25"/>
  <c r="N24"/>
  <c r="L24"/>
  <c r="K24"/>
  <c r="J24"/>
  <c r="I24"/>
  <c r="F24"/>
  <c r="G24" s="1"/>
  <c r="P24"/>
  <c r="Q24"/>
  <c r="N23"/>
  <c r="L23"/>
  <c r="K23"/>
  <c r="J23"/>
  <c r="I23"/>
  <c r="F23"/>
  <c r="P23"/>
  <c r="Q23"/>
  <c r="N22"/>
  <c r="M22"/>
  <c r="K22"/>
  <c r="J22"/>
  <c r="I22"/>
  <c r="F22"/>
  <c r="P22"/>
  <c r="Q22"/>
  <c r="N21"/>
  <c r="L21"/>
  <c r="K21"/>
  <c r="J21"/>
  <c r="I21"/>
  <c r="F21"/>
  <c r="G21"/>
  <c r="P21"/>
  <c r="Q21"/>
  <c r="N20"/>
  <c r="L20"/>
  <c r="K20"/>
  <c r="J20"/>
  <c r="I20"/>
  <c r="E20"/>
  <c r="F20"/>
  <c r="P20"/>
  <c r="Q20"/>
  <c r="N19"/>
  <c r="M19"/>
  <c r="L19"/>
  <c r="K19"/>
  <c r="J19"/>
  <c r="I19"/>
  <c r="F19"/>
  <c r="P19"/>
  <c r="Q19"/>
  <c r="N18"/>
  <c r="L18"/>
  <c r="K18"/>
  <c r="J18"/>
  <c r="I18"/>
  <c r="E18"/>
  <c r="F18"/>
  <c r="P18"/>
  <c r="Q18"/>
  <c r="N17"/>
  <c r="L17"/>
  <c r="K17"/>
  <c r="J17"/>
  <c r="I17"/>
  <c r="E17"/>
  <c r="F17"/>
  <c r="G17" s="1"/>
  <c r="P17"/>
  <c r="Q17"/>
  <c r="F16"/>
  <c r="N16"/>
  <c r="L16"/>
  <c r="J16"/>
  <c r="Q16"/>
  <c r="BJ83"/>
  <c r="BH84"/>
  <c r="BI84"/>
  <c r="BI85"/>
  <c r="BJ84"/>
  <c r="BL84"/>
  <c r="BH80"/>
  <c r="BH77"/>
  <c r="BI77"/>
  <c r="BJ77"/>
  <c r="BL77"/>
  <c r="BH78"/>
  <c r="BI78"/>
  <c r="BI79" s="1"/>
  <c r="BJ78"/>
  <c r="BJ79"/>
  <c r="BL78"/>
  <c r="BL79"/>
  <c r="BH74"/>
  <c r="BI74"/>
  <c r="BI76"/>
  <c r="BJ74"/>
  <c r="BL74"/>
  <c r="BH75"/>
  <c r="BH76" s="1"/>
  <c r="BI75"/>
  <c r="BJ75"/>
  <c r="BJ76" s="1"/>
  <c r="BL75"/>
  <c r="BL76"/>
  <c r="BI71"/>
  <c r="BI72"/>
  <c r="BI73" s="1"/>
  <c r="BH65"/>
  <c r="BI65"/>
  <c r="BI67"/>
  <c r="BH66"/>
  <c r="BH67"/>
  <c r="BI66"/>
  <c r="BH62"/>
  <c r="BI62"/>
  <c r="BH63"/>
  <c r="BI63"/>
  <c r="BI64"/>
  <c r="BH59"/>
  <c r="BI59"/>
  <c r="BH60"/>
  <c r="BI60"/>
  <c r="BH56"/>
  <c r="BI56"/>
  <c r="BI58" s="1"/>
  <c r="BI57"/>
  <c r="BH57"/>
  <c r="BH53"/>
  <c r="BI53"/>
  <c r="BH54"/>
  <c r="BI54"/>
  <c r="BI50"/>
  <c r="BI52" s="1"/>
  <c r="BI51"/>
  <c r="BH47"/>
  <c r="BI47"/>
  <c r="BH48"/>
  <c r="BH49"/>
  <c r="BI48"/>
  <c r="BH44"/>
  <c r="BI44"/>
  <c r="BJ44"/>
  <c r="BL44"/>
  <c r="BL46"/>
  <c r="BI45"/>
  <c r="BH45"/>
  <c r="BJ45"/>
  <c r="BJ46"/>
  <c r="BL45"/>
  <c r="BH41"/>
  <c r="BI41"/>
  <c r="BH42"/>
  <c r="BI42"/>
  <c r="BI43"/>
  <c r="BH38"/>
  <c r="BI38"/>
  <c r="BH39"/>
  <c r="BI39"/>
  <c r="BI35"/>
  <c r="BI36"/>
  <c r="BI37" s="1"/>
  <c r="BH32"/>
  <c r="BI32"/>
  <c r="BH33"/>
  <c r="BI33"/>
  <c r="BI29"/>
  <c r="BI30"/>
  <c r="BI31"/>
  <c r="BH26"/>
  <c r="BI26"/>
  <c r="BI27"/>
  <c r="BI28"/>
  <c r="BH27"/>
  <c r="BH23"/>
  <c r="BH25" s="1"/>
  <c r="BI23"/>
  <c r="BI24"/>
  <c r="BI25" s="1"/>
  <c r="BH24"/>
  <c r="BH20"/>
  <c r="BI20"/>
  <c r="BI21"/>
  <c r="BI22" s="1"/>
  <c r="BH21"/>
  <c r="BH17"/>
  <c r="BI17"/>
  <c r="BI18"/>
  <c r="BI19"/>
  <c r="BH18"/>
  <c r="BH15"/>
  <c r="BI14"/>
  <c r="BI15"/>
  <c r="BI16" s="1"/>
  <c r="N15"/>
  <c r="L15"/>
  <c r="K15"/>
  <c r="J15"/>
  <c r="I15"/>
  <c r="F15"/>
  <c r="G15"/>
  <c r="P15"/>
  <c r="Q15"/>
  <c r="P11" i="24"/>
  <c r="N11"/>
  <c r="J11"/>
  <c r="AN11"/>
  <c r="AO11"/>
  <c r="I11" s="1"/>
  <c r="F11"/>
  <c r="Q11" i="26"/>
  <c r="N11"/>
  <c r="M11"/>
  <c r="L11"/>
  <c r="I11"/>
  <c r="J11"/>
  <c r="P11"/>
  <c r="T11"/>
  <c r="U11"/>
  <c r="N14" i="27"/>
  <c r="L14"/>
  <c r="K14"/>
  <c r="J14"/>
  <c r="I14"/>
  <c r="F14"/>
  <c r="P14"/>
  <c r="Q14"/>
  <c r="L11" i="24"/>
  <c r="BO70" i="22"/>
  <c r="BO69"/>
  <c r="BO68"/>
  <c r="BH55" i="27"/>
  <c r="BH61"/>
  <c r="BJ85"/>
  <c r="BH40"/>
  <c r="BH46"/>
  <c r="BH64"/>
  <c r="BH79"/>
  <c r="G18"/>
  <c r="G32"/>
  <c r="G53"/>
  <c r="G62"/>
  <c r="AI85"/>
  <c r="H85" s="1"/>
  <c r="AI79"/>
  <c r="BL11" i="24"/>
  <c r="BJ11"/>
  <c r="I166" i="22"/>
  <c r="I174"/>
  <c r="G10" i="25"/>
  <c r="BP167" i="22"/>
  <c r="BP174"/>
  <c r="BL169"/>
  <c r="I42" i="40"/>
  <c r="BN9" i="47"/>
  <c r="O20" i="40"/>
  <c r="BO13" i="35"/>
  <c r="G16" i="24"/>
  <c r="H16"/>
  <c r="BP170" i="22"/>
  <c r="BP171"/>
  <c r="BP172"/>
  <c r="AL169"/>
  <c r="J169" s="1"/>
  <c r="G11" i="47"/>
  <c r="G14"/>
  <c r="BP9"/>
  <c r="BL9"/>
  <c r="AJ9"/>
  <c r="BN11" i="25"/>
  <c r="BS18" i="26"/>
  <c r="BS27" s="1"/>
  <c r="AK26"/>
  <c r="BK19"/>
  <c r="BN19" s="1"/>
  <c r="BN20" s="1"/>
  <c r="AO26"/>
  <c r="O12"/>
  <c r="BF73" i="40"/>
  <c r="O73"/>
  <c r="AA72"/>
  <c r="BH58"/>
  <c r="BK58" s="1"/>
  <c r="AW16" i="45"/>
  <c r="X26"/>
  <c r="E80" i="27"/>
  <c r="G80" s="1"/>
  <c r="BR18" i="26"/>
  <c r="BR27" s="1"/>
  <c r="N23"/>
  <c r="BR25"/>
  <c r="BN53" i="40"/>
  <c r="BN74" s="1"/>
  <c r="J57" i="45"/>
  <c r="BE79" i="27"/>
  <c r="BF79"/>
  <c r="H79"/>
  <c r="E56"/>
  <c r="G56" s="1"/>
  <c r="J11"/>
  <c r="M64"/>
  <c r="M40"/>
  <c r="E74"/>
  <c r="G74"/>
  <c r="E65"/>
  <c r="G65"/>
  <c r="E23"/>
  <c r="G23"/>
  <c r="BG16"/>
  <c r="M76"/>
  <c r="M61"/>
  <c r="M49"/>
  <c r="M37"/>
  <c r="F76"/>
  <c r="E76"/>
  <c r="G76"/>
  <c r="E61"/>
  <c r="G61"/>
  <c r="E31"/>
  <c r="G31"/>
  <c r="BO16" i="24"/>
  <c r="E22" i="27"/>
  <c r="G22" s="1"/>
  <c r="H15" i="24"/>
  <c r="BF15"/>
  <c r="H17"/>
  <c r="BF17"/>
  <c r="BI17"/>
  <c r="J12" i="35"/>
  <c r="J15"/>
  <c r="R13" i="22"/>
  <c r="BL85" i="27"/>
  <c r="BN38" i="40"/>
  <c r="E81" i="27"/>
  <c r="BQ55" i="40"/>
  <c r="L19" i="45"/>
  <c r="BK9" i="47"/>
  <c r="BJ11"/>
  <c r="AJ12" i="33"/>
  <c r="H12" s="1"/>
  <c r="BM12"/>
  <c r="BN12" s="1"/>
  <c r="BU11" i="26"/>
  <c r="BU12" s="1"/>
  <c r="M25"/>
  <c r="BO25"/>
  <c r="O25"/>
  <c r="AA46" i="40"/>
  <c r="AA75"/>
  <c r="AY46"/>
  <c r="AY75"/>
  <c r="BL53"/>
  <c r="BL74"/>
  <c r="X73"/>
  <c r="BH23"/>
  <c r="BK23" s="1"/>
  <c r="X72"/>
  <c r="BQ29" i="45"/>
  <c r="BK148" i="22"/>
  <c r="O16" i="24"/>
  <c r="R16"/>
  <c r="BK20" i="26"/>
  <c r="BK28"/>
  <c r="BN28" s="1"/>
  <c r="AJ11" i="33"/>
  <c r="BI15" i="24"/>
  <c r="E37" i="27"/>
  <c r="G37" s="1"/>
  <c r="O17" i="49"/>
  <c r="H23"/>
  <c r="Q23"/>
  <c r="T23" s="1"/>
  <c r="S26"/>
  <c r="BT22"/>
  <c r="H12"/>
  <c r="H15"/>
  <c r="J26"/>
  <c r="L26"/>
  <c r="H24"/>
  <c r="Q24" s="1"/>
  <c r="T24" s="1"/>
  <c r="H14"/>
  <c r="BR17"/>
  <c r="BO17"/>
  <c r="BT13"/>
  <c r="BE28"/>
  <c r="BP17"/>
  <c r="BT15"/>
  <c r="H17"/>
  <c r="BN47" i="45"/>
  <c r="U82" i="27"/>
  <c r="AB28" i="26"/>
  <c r="AB27"/>
  <c r="BJ27"/>
  <c r="T14"/>
  <c r="BP44" i="40"/>
  <c r="Q15" i="49"/>
  <c r="T15" s="1"/>
  <c r="H161" i="22"/>
  <c r="I161" s="1"/>
  <c r="Q161" s="1"/>
  <c r="T161" s="1"/>
  <c r="N26" i="49"/>
  <c r="G26"/>
  <c r="I26"/>
  <c r="K26"/>
  <c r="M26"/>
  <c r="BH36" i="27"/>
  <c r="E30"/>
  <c r="G30" s="1"/>
  <c r="I11"/>
  <c r="E72"/>
  <c r="G72"/>
  <c r="BH72"/>
  <c r="L11"/>
  <c r="E36"/>
  <c r="G36"/>
  <c r="BH35"/>
  <c r="BH37"/>
  <c r="K14" i="22"/>
  <c r="E29" i="27"/>
  <c r="G29" s="1"/>
  <c r="BH29"/>
  <c r="BH31" s="1"/>
  <c r="BH71"/>
  <c r="E35"/>
  <c r="G35"/>
  <c r="BQ15" i="47"/>
  <c r="BQ13"/>
  <c r="E9"/>
  <c r="G9"/>
  <c r="J16" i="26"/>
  <c r="AJ26"/>
  <c r="AH26"/>
  <c r="AC26"/>
  <c r="Q23"/>
  <c r="M23"/>
  <c r="X26"/>
  <c r="H26" s="1"/>
  <c r="BH73" i="27"/>
  <c r="E40"/>
  <c r="G40"/>
  <c r="U16"/>
  <c r="BH16"/>
  <c r="BM49" i="22"/>
  <c r="BM54" s="1"/>
  <c r="O54"/>
  <c r="BO13" i="24"/>
  <c r="H14"/>
  <c r="BL31" i="22"/>
  <c r="Z36"/>
  <c r="R36" s="1"/>
  <c r="BL35"/>
  <c r="BO161"/>
  <c r="K16"/>
  <c r="BO157"/>
  <c r="BK161"/>
  <c r="N25" i="26"/>
  <c r="BQ25"/>
  <c r="AM26"/>
  <c r="R26" s="1"/>
  <c r="Z27"/>
  <c r="Y25"/>
  <c r="H25"/>
  <c r="J25" s="1"/>
  <c r="Y14"/>
  <c r="H14"/>
  <c r="J14" s="1"/>
  <c r="AN23"/>
  <c r="K23" s="1"/>
  <c r="AQ23"/>
  <c r="BT52" i="45"/>
  <c r="BT54"/>
  <c r="R57"/>
  <c r="BT35"/>
  <c r="AJ10" i="32"/>
  <c r="BF12"/>
  <c r="BG12" s="1"/>
  <c r="BP14" i="26"/>
  <c r="BP25"/>
  <c r="AQ26"/>
  <c r="H10" i="38"/>
  <c r="G10" i="36"/>
  <c r="O10" s="1"/>
  <c r="R10" s="1"/>
  <c r="BO10"/>
  <c r="BF13" i="32"/>
  <c r="BG13" s="1"/>
  <c r="H12"/>
  <c r="H13" i="35"/>
  <c r="BH34" i="27"/>
  <c r="BH28"/>
  <c r="BH22"/>
  <c r="BH19"/>
  <c r="G59"/>
  <c r="G54"/>
  <c r="G42"/>
  <c r="BG40"/>
  <c r="G38"/>
  <c r="BG34"/>
  <c r="G26"/>
  <c r="Q49"/>
  <c r="G43"/>
  <c r="K11"/>
  <c r="I12"/>
  <c r="J12"/>
  <c r="L12"/>
  <c r="N12"/>
  <c r="L13" i="35"/>
  <c r="M13"/>
  <c r="J11"/>
  <c r="BH51" i="27"/>
  <c r="E51"/>
  <c r="G51" s="1"/>
  <c r="E50"/>
  <c r="G50" s="1"/>
  <c r="BH50"/>
  <c r="BC51"/>
  <c r="BJ51"/>
  <c r="BJ50"/>
  <c r="BJ52" s="1"/>
  <c r="M50"/>
  <c r="BC20"/>
  <c r="BC26"/>
  <c r="M26"/>
  <c r="BC32"/>
  <c r="BC38"/>
  <c r="M38" s="1"/>
  <c r="BC47"/>
  <c r="BJ47" s="1"/>
  <c r="BC53"/>
  <c r="BC59"/>
  <c r="BC60" s="1"/>
  <c r="BC62"/>
  <c r="BC71"/>
  <c r="BC72"/>
  <c r="AF35"/>
  <c r="AF36"/>
  <c r="AI36" s="1"/>
  <c r="AF41"/>
  <c r="AF42" s="1"/>
  <c r="AF50"/>
  <c r="BL50"/>
  <c r="AF56"/>
  <c r="AF57"/>
  <c r="BM44"/>
  <c r="BC14"/>
  <c r="BC17"/>
  <c r="BC29"/>
  <c r="M29" s="1"/>
  <c r="O29" s="1"/>
  <c r="R29" s="1"/>
  <c r="G88"/>
  <c r="H88"/>
  <c r="BM77"/>
  <c r="M51"/>
  <c r="BL56"/>
  <c r="M71"/>
  <c r="BJ59"/>
  <c r="BJ32"/>
  <c r="BC21"/>
  <c r="M20"/>
  <c r="BJ20"/>
  <c r="BC15"/>
  <c r="BJ15" s="1"/>
  <c r="AF51"/>
  <c r="BL51" s="1"/>
  <c r="AI50"/>
  <c r="AI35"/>
  <c r="H35" s="1"/>
  <c r="BJ62"/>
  <c r="BC39"/>
  <c r="M39"/>
  <c r="BJ38"/>
  <c r="BC27"/>
  <c r="BJ27" s="1"/>
  <c r="BJ26"/>
  <c r="BJ39"/>
  <c r="BJ40"/>
  <c r="M15"/>
  <c r="BJ21"/>
  <c r="M21"/>
  <c r="P80"/>
  <c r="BI80"/>
  <c r="F81"/>
  <c r="G81" s="1"/>
  <c r="BH81"/>
  <c r="BH82" s="1"/>
  <c r="W82"/>
  <c r="P11"/>
  <c r="G68"/>
  <c r="J70"/>
  <c r="L70"/>
  <c r="N70"/>
  <c r="Q70"/>
  <c r="F70"/>
  <c r="I70"/>
  <c r="K70"/>
  <c r="M70"/>
  <c r="O88"/>
  <c r="R88"/>
  <c r="BM176" i="22"/>
  <c r="BN36"/>
  <c r="BN169"/>
  <c r="BN172"/>
  <c r="BO165"/>
  <c r="BP165"/>
  <c r="J165"/>
  <c r="BI167"/>
  <c r="BO115"/>
  <c r="BO120"/>
  <c r="AL96"/>
  <c r="J96"/>
  <c r="BO55"/>
  <c r="N14"/>
  <c r="H17"/>
  <c r="I17"/>
  <c r="Y11"/>
  <c r="H157"/>
  <c r="BJ39"/>
  <c r="BO58"/>
  <c r="BJ31"/>
  <c r="G33"/>
  <c r="BJ33"/>
  <c r="G35"/>
  <c r="I35" s="1"/>
  <c r="H33"/>
  <c r="BH147"/>
  <c r="BO147"/>
  <c r="K176"/>
  <c r="BN90"/>
  <c r="BN108"/>
  <c r="BN150"/>
  <c r="BK169"/>
  <c r="R42"/>
  <c r="L54"/>
  <c r="L66"/>
  <c r="K84"/>
  <c r="R102"/>
  <c r="L108"/>
  <c r="K114"/>
  <c r="L150"/>
  <c r="R150"/>
  <c r="L156"/>
  <c r="K162"/>
  <c r="K169"/>
  <c r="R169"/>
  <c r="L17"/>
  <c r="BO154"/>
  <c r="BO93"/>
  <c r="BO51"/>
  <c r="BO87"/>
  <c r="BO90"/>
  <c r="BO47"/>
  <c r="BO57"/>
  <c r="BO125"/>
  <c r="BO141"/>
  <c r="BO144" s="1"/>
  <c r="BN78"/>
  <c r="BA18"/>
  <c r="AY18"/>
  <c r="AW18"/>
  <c r="L72"/>
  <c r="R84"/>
  <c r="L90"/>
  <c r="R120"/>
  <c r="K126"/>
  <c r="L144"/>
  <c r="K60"/>
  <c r="BK34"/>
  <c r="BP34"/>
  <c r="I113"/>
  <c r="BJ176"/>
  <c r="BB18"/>
  <c r="AX18"/>
  <c r="S18" s="1"/>
  <c r="AV18"/>
  <c r="AT18"/>
  <c r="AN18"/>
  <c r="AA18"/>
  <c r="AC18"/>
  <c r="L48"/>
  <c r="H48"/>
  <c r="M66"/>
  <c r="K66"/>
  <c r="R66"/>
  <c r="M72"/>
  <c r="K72"/>
  <c r="R72"/>
  <c r="L78"/>
  <c r="R78"/>
  <c r="M96"/>
  <c r="K96"/>
  <c r="R96"/>
  <c r="L102"/>
  <c r="H102"/>
  <c r="M108"/>
  <c r="K108"/>
  <c r="L120"/>
  <c r="L126"/>
  <c r="M132"/>
  <c r="R132"/>
  <c r="H132"/>
  <c r="M138"/>
  <c r="M144"/>
  <c r="K144"/>
  <c r="R144"/>
  <c r="BO132"/>
  <c r="K132"/>
  <c r="AU18"/>
  <c r="H60"/>
  <c r="H138"/>
  <c r="H126"/>
  <c r="I170"/>
  <c r="Q170"/>
  <c r="T170" s="1"/>
  <c r="I149"/>
  <c r="BN48"/>
  <c r="K42"/>
  <c r="I168"/>
  <c r="R17"/>
  <c r="I173"/>
  <c r="Q173"/>
  <c r="T173" s="1"/>
  <c r="I163"/>
  <c r="Q163" s="1"/>
  <c r="T163" s="1"/>
  <c r="I165"/>
  <c r="Q165"/>
  <c r="T165" s="1"/>
  <c r="BP166"/>
  <c r="M12"/>
  <c r="S12"/>
  <c r="BO156"/>
  <c r="BN102"/>
  <c r="BN84"/>
  <c r="BN54"/>
  <c r="BN60"/>
  <c r="BP163"/>
  <c r="BP164"/>
  <c r="I175"/>
  <c r="BN156"/>
  <c r="BN132"/>
  <c r="BN72"/>
  <c r="BO108"/>
  <c r="L138"/>
  <c r="I171"/>
  <c r="Q171"/>
  <c r="T171" s="1"/>
  <c r="BP173"/>
  <c r="I167"/>
  <c r="Q167"/>
  <c r="T167" s="1"/>
  <c r="BJ36"/>
  <c r="I95"/>
  <c r="BO124"/>
  <c r="BO160"/>
  <c r="BO162"/>
  <c r="J162"/>
  <c r="BO122"/>
  <c r="BO126" s="1"/>
  <c r="K11"/>
  <c r="I77"/>
  <c r="O15"/>
  <c r="O11"/>
  <c r="N12"/>
  <c r="BK33"/>
  <c r="BP33" s="1"/>
  <c r="BH33"/>
  <c r="BI33" s="1"/>
  <c r="BH34"/>
  <c r="BI34" s="1"/>
  <c r="G32"/>
  <c r="BH32"/>
  <c r="BI32"/>
  <c r="BK32"/>
  <c r="L11"/>
  <c r="BR26" i="45"/>
  <c r="BP26"/>
  <c r="F57"/>
  <c r="AL54"/>
  <c r="J54"/>
  <c r="BT48"/>
  <c r="BT50" s="1"/>
  <c r="AK47"/>
  <c r="P47" s="1"/>
  <c r="BT45"/>
  <c r="BT43"/>
  <c r="O30"/>
  <c r="H55"/>
  <c r="BP14"/>
  <c r="BP16" s="1"/>
  <c r="AI16"/>
  <c r="AL19"/>
  <c r="I19"/>
  <c r="S57"/>
  <c r="AD54"/>
  <c r="K54"/>
  <c r="BT41"/>
  <c r="BA26"/>
  <c r="F54"/>
  <c r="O54"/>
  <c r="BT37"/>
  <c r="BT55"/>
  <c r="BT57"/>
  <c r="F50"/>
  <c r="H50" s="1"/>
  <c r="BN20"/>
  <c r="V26"/>
  <c r="BQ47"/>
  <c r="BT39"/>
  <c r="BO169" i="22"/>
  <c r="AL126"/>
  <c r="J126"/>
  <c r="BP32"/>
  <c r="O30"/>
  <c r="H11" i="31"/>
  <c r="BJ11"/>
  <c r="P20" i="49"/>
  <c r="BG28"/>
  <c r="BI17"/>
  <c r="BL17"/>
  <c r="R26"/>
  <c r="BQ14" i="47"/>
  <c r="K9"/>
  <c r="L9"/>
  <c r="N9"/>
  <c r="BQ10"/>
  <c r="BQ11"/>
  <c r="K9" i="31"/>
  <c r="I18"/>
  <c r="M16" i="45"/>
  <c r="J19" i="26"/>
  <c r="X27"/>
  <c r="BL10" i="34"/>
  <c r="H10"/>
  <c r="G15" i="24"/>
  <c r="O15"/>
  <c r="R15" s="1"/>
  <c r="BK11"/>
  <c r="E11"/>
  <c r="G11"/>
  <c r="G14"/>
  <c r="O14"/>
  <c r="R14" s="1"/>
  <c r="G17"/>
  <c r="O17"/>
  <c r="R17" s="1"/>
  <c r="G13"/>
  <c r="H13"/>
  <c r="O13"/>
  <c r="R13" s="1"/>
  <c r="M48" i="22"/>
  <c r="K48"/>
  <c r="R48"/>
  <c r="L14"/>
  <c r="K13"/>
  <c r="M13"/>
  <c r="M14"/>
  <c r="H150"/>
  <c r="BF149"/>
  <c r="O149" s="1"/>
  <c r="BP146"/>
  <c r="BP148"/>
  <c r="BJ37"/>
  <c r="BJ42" s="1"/>
  <c r="G101"/>
  <c r="I101" s="1"/>
  <c r="BN30"/>
  <c r="BC18"/>
  <c r="L36"/>
  <c r="K36"/>
  <c r="J138"/>
  <c r="J156"/>
  <c r="BH19"/>
  <c r="BI19" s="1"/>
  <c r="BM24"/>
  <c r="BN24"/>
  <c r="BO22"/>
  <c r="BO15" s="1"/>
  <c r="BO23"/>
  <c r="L12"/>
  <c r="P15"/>
  <c r="M15"/>
  <c r="N16"/>
  <c r="BF12"/>
  <c r="O12"/>
  <c r="BF71"/>
  <c r="BF83"/>
  <c r="O83" s="1"/>
  <c r="J36"/>
  <c r="P30"/>
  <c r="J30"/>
  <c r="M176"/>
  <c r="BL126"/>
  <c r="R90"/>
  <c r="R162"/>
  <c r="P14"/>
  <c r="M16"/>
  <c r="I20"/>
  <c r="BK37"/>
  <c r="G37"/>
  <c r="I37" s="1"/>
  <c r="BH37"/>
  <c r="BI37" s="1"/>
  <c r="Y12"/>
  <c r="H32"/>
  <c r="I32"/>
  <c r="O31"/>
  <c r="BF47"/>
  <c r="BM47" s="1"/>
  <c r="BM44"/>
  <c r="O136"/>
  <c r="BM136"/>
  <c r="BK23"/>
  <c r="BP23"/>
  <c r="BH23"/>
  <c r="G89"/>
  <c r="I89" s="1"/>
  <c r="BK89"/>
  <c r="BP19"/>
  <c r="BH20"/>
  <c r="BI20" s="1"/>
  <c r="J20"/>
  <c r="Q20" s="1"/>
  <c r="T20" s="1"/>
  <c r="G47"/>
  <c r="I47"/>
  <c r="BK71"/>
  <c r="BJ71"/>
  <c r="BF89"/>
  <c r="BH89"/>
  <c r="BI89" s="1"/>
  <c r="BM85"/>
  <c r="O87"/>
  <c r="BM87"/>
  <c r="O104"/>
  <c r="BM104"/>
  <c r="O106"/>
  <c r="BM106"/>
  <c r="BF131"/>
  <c r="BM131"/>
  <c r="BM132" s="1"/>
  <c r="O127"/>
  <c r="O135"/>
  <c r="BM135"/>
  <c r="BM147"/>
  <c r="BJ80"/>
  <c r="V90"/>
  <c r="BJ88"/>
  <c r="W15"/>
  <c r="G15"/>
  <c r="I15" s="1"/>
  <c r="G22"/>
  <c r="I22" s="1"/>
  <c r="BH22"/>
  <c r="BH15" s="1"/>
  <c r="BI15" s="1"/>
  <c r="BH38"/>
  <c r="BI38" s="1"/>
  <c r="BM60"/>
  <c r="BP168"/>
  <c r="BP169" s="1"/>
  <c r="BL66"/>
  <c r="M36"/>
  <c r="R156"/>
  <c r="H169"/>
  <c r="BP20"/>
  <c r="BP21"/>
  <c r="BJ24"/>
  <c r="AP18"/>
  <c r="G127"/>
  <c r="I127" s="1"/>
  <c r="BO138"/>
  <c r="AQ18"/>
  <c r="BH168"/>
  <c r="BI168" s="1"/>
  <c r="I19"/>
  <c r="BL24"/>
  <c r="I21"/>
  <c r="AZ18"/>
  <c r="M18"/>
  <c r="BD18"/>
  <c r="K15"/>
  <c r="Q15" s="1"/>
  <c r="T15" s="1"/>
  <c r="R15"/>
  <c r="Q21"/>
  <c r="T21" s="1"/>
  <c r="BE18"/>
  <c r="BG18"/>
  <c r="AS18"/>
  <c r="L18" s="1"/>
  <c r="O24"/>
  <c r="BK22"/>
  <c r="BK15"/>
  <c r="W24"/>
  <c r="G24"/>
  <c r="I24" s="1"/>
  <c r="BH47"/>
  <c r="BI47" s="1"/>
  <c r="AI18"/>
  <c r="BO36"/>
  <c r="BO102"/>
  <c r="AL12"/>
  <c r="AL14"/>
  <c r="J14" s="1"/>
  <c r="BO41"/>
  <c r="BO42" s="1"/>
  <c r="O53"/>
  <c r="BJ127"/>
  <c r="BO24"/>
  <c r="O71"/>
  <c r="BM71"/>
  <c r="BM72" s="1"/>
  <c r="G133"/>
  <c r="I133" s="1"/>
  <c r="BJ133"/>
  <c r="BH91"/>
  <c r="BI91" s="1"/>
  <c r="BJ91"/>
  <c r="BK88"/>
  <c r="G88"/>
  <c r="I88" s="1"/>
  <c r="Q88" s="1"/>
  <c r="T88" s="1"/>
  <c r="BH88"/>
  <c r="BI88" s="1"/>
  <c r="BK86"/>
  <c r="BP86" s="1"/>
  <c r="G86"/>
  <c r="I86" s="1"/>
  <c r="Q86" s="1"/>
  <c r="T86" s="1"/>
  <c r="BH86"/>
  <c r="BI86" s="1"/>
  <c r="BK115"/>
  <c r="BJ115"/>
  <c r="H116"/>
  <c r="BJ43"/>
  <c r="BJ48"/>
  <c r="BK107"/>
  <c r="G107"/>
  <c r="I107" s="1"/>
  <c r="BJ103"/>
  <c r="BK127"/>
  <c r="BK38"/>
  <c r="G38"/>
  <c r="I38"/>
  <c r="BJ90"/>
  <c r="O131"/>
  <c r="O89"/>
  <c r="Q89" s="1"/>
  <c r="T89" s="1"/>
  <c r="BM89"/>
  <c r="BM90" s="1"/>
  <c r="BJ97"/>
  <c r="G71"/>
  <c r="I71"/>
  <c r="BK47"/>
  <c r="BJ49"/>
  <c r="BP147"/>
  <c r="BJ128"/>
  <c r="BK91"/>
  <c r="G92"/>
  <c r="I92" s="1"/>
  <c r="Q92" s="1"/>
  <c r="T92" s="1"/>
  <c r="G91"/>
  <c r="I91" s="1"/>
  <c r="Q91" s="1"/>
  <c r="T91" s="1"/>
  <c r="BO45"/>
  <c r="BO46"/>
  <c r="BO44"/>
  <c r="AS72" i="40"/>
  <c r="I15" i="26"/>
  <c r="AA18"/>
  <c r="AA27"/>
  <c r="I27" s="1"/>
  <c r="BK15"/>
  <c r="BN15" s="1"/>
  <c r="BO18"/>
  <c r="BO27" s="1"/>
  <c r="H15"/>
  <c r="J15" s="1"/>
  <c r="S15" s="1"/>
  <c r="V15" s="1"/>
  <c r="I18"/>
  <c r="J29" i="40"/>
  <c r="J30"/>
  <c r="J31"/>
  <c r="I48"/>
  <c r="I51"/>
  <c r="Z72"/>
  <c r="AT46"/>
  <c r="AT75"/>
  <c r="BQ10"/>
  <c r="R16"/>
  <c r="AK46"/>
  <c r="P46"/>
  <c r="AI46"/>
  <c r="AI75"/>
  <c r="AG46"/>
  <c r="AG75"/>
  <c r="AE46"/>
  <c r="AE75"/>
  <c r="AS71"/>
  <c r="L71" s="1"/>
  <c r="R19"/>
  <c r="BH13"/>
  <c r="BK13"/>
  <c r="AM27" i="26"/>
  <c r="BT16"/>
  <c r="BU16" s="1"/>
  <c r="V77" i="40"/>
  <c r="G69"/>
  <c r="BF69"/>
  <c r="BF77" s="1"/>
  <c r="O77" s="1"/>
  <c r="L61"/>
  <c r="BP12"/>
  <c r="BP22"/>
  <c r="BP23"/>
  <c r="BQ23" s="1"/>
  <c r="BP25"/>
  <c r="I67"/>
  <c r="AS74"/>
  <c r="M53"/>
  <c r="I68"/>
  <c r="BP67"/>
  <c r="BQ67" s="1"/>
  <c r="BH67"/>
  <c r="AS76"/>
  <c r="L76" s="1"/>
  <c r="BO69"/>
  <c r="BO77" s="1"/>
  <c r="K69"/>
  <c r="M38"/>
  <c r="R53"/>
  <c r="K45"/>
  <c r="M32"/>
  <c r="K26"/>
  <c r="BL26"/>
  <c r="L26"/>
  <c r="AM73"/>
  <c r="AK73"/>
  <c r="P73"/>
  <c r="L20"/>
  <c r="AK71"/>
  <c r="P71" s="1"/>
  <c r="I9"/>
  <c r="Q9" s="1"/>
  <c r="T9" s="1"/>
  <c r="J14"/>
  <c r="I17"/>
  <c r="Q17" s="1"/>
  <c r="T17" s="1"/>
  <c r="AK76"/>
  <c r="AK74"/>
  <c r="AZ74"/>
  <c r="BE74"/>
  <c r="BF74"/>
  <c r="BH24"/>
  <c r="BK24" s="1"/>
  <c r="BP24"/>
  <c r="BQ24" s="1"/>
  <c r="BP59"/>
  <c r="AL71"/>
  <c r="J71"/>
  <c r="AS73"/>
  <c r="BP11"/>
  <c r="AL69"/>
  <c r="BP38"/>
  <c r="BF46"/>
  <c r="BF75"/>
  <c r="O75" s="1"/>
  <c r="BF12" i="24"/>
  <c r="BI12" s="1"/>
  <c r="BN12"/>
  <c r="K11"/>
  <c r="BM37" i="40"/>
  <c r="BK23" i="26"/>
  <c r="I15" i="40"/>
  <c r="Q15" s="1"/>
  <c r="T15" s="1"/>
  <c r="BN16"/>
  <c r="AJ46"/>
  <c r="AJ75" s="1"/>
  <c r="AH46"/>
  <c r="AH75" s="1"/>
  <c r="AF46"/>
  <c r="AF75" s="1"/>
  <c r="I41"/>
  <c r="L38"/>
  <c r="BN69"/>
  <c r="BN77" s="1"/>
  <c r="R61"/>
  <c r="BH60"/>
  <c r="BK60"/>
  <c r="BQ56"/>
  <c r="J53"/>
  <c r="BQ51"/>
  <c r="BB46"/>
  <c r="BB75" s="1"/>
  <c r="BQ41"/>
  <c r="O46"/>
  <c r="AU46"/>
  <c r="AU75" s="1"/>
  <c r="BC46"/>
  <c r="BC75" s="1"/>
  <c r="AL32"/>
  <c r="J32" s="1"/>
  <c r="BQ28"/>
  <c r="I12"/>
  <c r="BQ12"/>
  <c r="AS46"/>
  <c r="AS75"/>
  <c r="AW46"/>
  <c r="AW75"/>
  <c r="BA46"/>
  <c r="BA75"/>
  <c r="BG46"/>
  <c r="BG75"/>
  <c r="BQ50"/>
  <c r="BQ47"/>
  <c r="BQ40"/>
  <c r="BQ27"/>
  <c r="BH44"/>
  <c r="BK44"/>
  <c r="AK75"/>
  <c r="O69"/>
  <c r="BH43"/>
  <c r="BK43"/>
  <c r="BP21"/>
  <c r="BE72"/>
  <c r="N72" s="1"/>
  <c r="M26"/>
  <c r="BE73"/>
  <c r="N73"/>
  <c r="K61"/>
  <c r="L69"/>
  <c r="BP13"/>
  <c r="BH11"/>
  <c r="BK11" s="1"/>
  <c r="AL26"/>
  <c r="AL73" s="1"/>
  <c r="J73" s="1"/>
  <c r="R20"/>
  <c r="I23"/>
  <c r="H69"/>
  <c r="I69"/>
  <c r="I39"/>
  <c r="Q39"/>
  <c r="T39" s="1"/>
  <c r="I40"/>
  <c r="Q40" s="1"/>
  <c r="T40" s="1"/>
  <c r="I44"/>
  <c r="Q44"/>
  <c r="T44" s="1"/>
  <c r="I47"/>
  <c r="Q47" s="1"/>
  <c r="T47" s="1"/>
  <c r="I49"/>
  <c r="I50"/>
  <c r="Q50" s="1"/>
  <c r="T50" s="1"/>
  <c r="I52"/>
  <c r="I55"/>
  <c r="Q55" s="1"/>
  <c r="T55" s="1"/>
  <c r="Z46"/>
  <c r="Y38"/>
  <c r="H38" s="1"/>
  <c r="M77"/>
  <c r="V76"/>
  <c r="V46"/>
  <c r="V75" s="1"/>
  <c r="BO26"/>
  <c r="BO73"/>
  <c r="M69"/>
  <c r="R69"/>
  <c r="I37"/>
  <c r="Q37"/>
  <c r="T37" s="1"/>
  <c r="J60"/>
  <c r="O74"/>
  <c r="P74"/>
  <c r="P76"/>
  <c r="N74"/>
  <c r="BE46"/>
  <c r="BE75"/>
  <c r="N75" s="1"/>
  <c r="S53"/>
  <c r="AK72"/>
  <c r="P72"/>
  <c r="Z77"/>
  <c r="R77" s="1"/>
  <c r="P61"/>
  <c r="P53"/>
  <c r="M20"/>
  <c r="L53"/>
  <c r="N53"/>
  <c r="L32"/>
  <c r="L45"/>
  <c r="BL30"/>
  <c r="BL29"/>
  <c r="BQ29" s="1"/>
  <c r="BP60"/>
  <c r="I33"/>
  <c r="BQ35"/>
  <c r="G29"/>
  <c r="BM29"/>
  <c r="W32"/>
  <c r="G32"/>
  <c r="I32" s="1"/>
  <c r="BM31"/>
  <c r="BQ31" s="1"/>
  <c r="H31"/>
  <c r="BM30"/>
  <c r="G30"/>
  <c r="H29"/>
  <c r="Y32"/>
  <c r="H32"/>
  <c r="I54"/>
  <c r="Q54"/>
  <c r="T54" s="1"/>
  <c r="I57"/>
  <c r="Q57" s="1"/>
  <c r="T57" s="1"/>
  <c r="AP46"/>
  <c r="AP75" s="1"/>
  <c r="AD46"/>
  <c r="AD75" s="1"/>
  <c r="R45"/>
  <c r="L14"/>
  <c r="BN61"/>
  <c r="BN76" s="1"/>
  <c r="AB46"/>
  <c r="AB75" s="1"/>
  <c r="BH33"/>
  <c r="BK33" s="1"/>
  <c r="I35"/>
  <c r="Q35" s="1"/>
  <c r="T35" s="1"/>
  <c r="I36"/>
  <c r="Q36"/>
  <c r="T36" s="1"/>
  <c r="BQ36"/>
  <c r="BH17"/>
  <c r="BK17"/>
  <c r="BQ42"/>
  <c r="BN14"/>
  <c r="BN71" s="1"/>
  <c r="BN19"/>
  <c r="BH18"/>
  <c r="BK18"/>
  <c r="J69"/>
  <c r="AL77"/>
  <c r="N46"/>
  <c r="AN74"/>
  <c r="K53"/>
  <c r="AZ46"/>
  <c r="AZ75" s="1"/>
  <c r="M75" s="1"/>
  <c r="M45"/>
  <c r="BP52"/>
  <c r="BP53" s="1"/>
  <c r="BP74" s="1"/>
  <c r="J52"/>
  <c r="Q52"/>
  <c r="T52" s="1"/>
  <c r="BH52"/>
  <c r="BK52" s="1"/>
  <c r="J59"/>
  <c r="J68"/>
  <c r="Q68"/>
  <c r="T68" s="1"/>
  <c r="BH68"/>
  <c r="BK68" s="1"/>
  <c r="BP31"/>
  <c r="I31"/>
  <c r="Q31" s="1"/>
  <c r="T31" s="1"/>
  <c r="AV46"/>
  <c r="AV75"/>
  <c r="AX46"/>
  <c r="BD46"/>
  <c r="BD75" s="1"/>
  <c r="BQ57"/>
  <c r="BQ54"/>
  <c r="BN45"/>
  <c r="BO45"/>
  <c r="X46"/>
  <c r="X75" s="1"/>
  <c r="BQ39"/>
  <c r="BP33"/>
  <c r="BQ33"/>
  <c r="BK67"/>
  <c r="Z75"/>
  <c r="AN46"/>
  <c r="AN75" s="1"/>
  <c r="K38"/>
  <c r="BQ48"/>
  <c r="BM53"/>
  <c r="BM74" s="1"/>
  <c r="BL69"/>
  <c r="BL77" s="1"/>
  <c r="X74"/>
  <c r="H74" s="1"/>
  <c r="H53"/>
  <c r="I53" s="1"/>
  <c r="J43"/>
  <c r="AL45"/>
  <c r="BE77"/>
  <c r="N77" s="1"/>
  <c r="N69"/>
  <c r="AK77"/>
  <c r="P77"/>
  <c r="P69"/>
  <c r="BH37"/>
  <c r="BK37" s="1"/>
  <c r="W38"/>
  <c r="S61"/>
  <c r="BM32"/>
  <c r="Q41"/>
  <c r="T41"/>
  <c r="Q42"/>
  <c r="T42"/>
  <c r="Q48"/>
  <c r="T48"/>
  <c r="Q49"/>
  <c r="T49"/>
  <c r="Q51"/>
  <c r="T51"/>
  <c r="AQ46"/>
  <c r="AQ75"/>
  <c r="AO46"/>
  <c r="AO75"/>
  <c r="K32"/>
  <c r="AM46"/>
  <c r="AM75" s="1"/>
  <c r="BQ49"/>
  <c r="BO53"/>
  <c r="BO74" s="1"/>
  <c r="BO32"/>
  <c r="M61"/>
  <c r="H61"/>
  <c r="I58"/>
  <c r="AZ71"/>
  <c r="M71" s="1"/>
  <c r="AZ72"/>
  <c r="M72"/>
  <c r="S14"/>
  <c r="O14"/>
  <c r="BM18"/>
  <c r="BM17"/>
  <c r="G16"/>
  <c r="H16"/>
  <c r="I16" s="1"/>
  <c r="AL72"/>
  <c r="J72" s="1"/>
  <c r="BQ15"/>
  <c r="K20"/>
  <c r="BF72"/>
  <c r="O72" s="1"/>
  <c r="BL19"/>
  <c r="G19"/>
  <c r="AL61"/>
  <c r="AL76" s="1"/>
  <c r="J76" s="1"/>
  <c r="J58"/>
  <c r="Q58"/>
  <c r="T58" s="1"/>
  <c r="BO61"/>
  <c r="BO76" s="1"/>
  <c r="BL61"/>
  <c r="BL76" s="1"/>
  <c r="BN23" i="26"/>
  <c r="BP14" i="40"/>
  <c r="BP71"/>
  <c r="J26"/>
  <c r="BL32"/>
  <c r="J45"/>
  <c r="AX75"/>
  <c r="S75"/>
  <c r="S46"/>
  <c r="M46"/>
  <c r="L46"/>
  <c r="J77"/>
  <c r="BM19"/>
  <c r="Y72"/>
  <c r="BL21" i="48"/>
  <c r="J16" i="45"/>
  <c r="I10"/>
  <c r="BN16"/>
  <c r="BI48"/>
  <c r="BL48"/>
  <c r="BI45"/>
  <c r="BL45"/>
  <c r="BI39"/>
  <c r="BL39"/>
  <c r="G47"/>
  <c r="BI27"/>
  <c r="BL27" s="1"/>
  <c r="BM16" i="40"/>
  <c r="H19"/>
  <c r="I18"/>
  <c r="Q18"/>
  <c r="T18" s="1"/>
  <c r="BP20" i="49"/>
  <c r="BT14"/>
  <c r="BS17"/>
  <c r="BN17"/>
  <c r="BT16"/>
  <c r="BT12"/>
  <c r="BQ17"/>
  <c r="Q12"/>
  <c r="T12"/>
  <c r="Q14"/>
  <c r="T14"/>
  <c r="BT24"/>
  <c r="BT23"/>
  <c r="D28"/>
  <c r="BT11"/>
  <c r="R20"/>
  <c r="G20"/>
  <c r="J20"/>
  <c r="BH28"/>
  <c r="BS20"/>
  <c r="P28"/>
  <c r="O20"/>
  <c r="M20"/>
  <c r="H26"/>
  <c r="BK26"/>
  <c r="BT21"/>
  <c r="O26"/>
  <c r="Q21"/>
  <c r="T21"/>
  <c r="BO19"/>
  <c r="BN19"/>
  <c r="BT19" s="1"/>
  <c r="W20"/>
  <c r="W28"/>
  <c r="F19"/>
  <c r="H19" s="1"/>
  <c r="Q19" s="1"/>
  <c r="T19" s="1"/>
  <c r="BO18"/>
  <c r="BN18"/>
  <c r="BN20"/>
  <c r="F18"/>
  <c r="H18"/>
  <c r="Q18" s="1"/>
  <c r="T18" s="1"/>
  <c r="V20"/>
  <c r="BT17"/>
  <c r="I28"/>
  <c r="O28"/>
  <c r="G28"/>
  <c r="M28"/>
  <c r="BO20"/>
  <c r="V28"/>
  <c r="BT18"/>
  <c r="BT20" s="1"/>
  <c r="BJ71" i="27"/>
  <c r="E82"/>
  <c r="X12"/>
  <c r="P12"/>
  <c r="BH43"/>
  <c r="V13"/>
  <c r="BE88"/>
  <c r="BF88"/>
  <c r="BM88"/>
  <c r="W11"/>
  <c r="F11" s="1"/>
  <c r="BG11"/>
  <c r="BG70"/>
  <c r="T12"/>
  <c r="E12" s="1"/>
  <c r="G12" s="1"/>
  <c r="U70"/>
  <c r="E70"/>
  <c r="G70" s="1"/>
  <c r="BG64"/>
  <c r="BG58"/>
  <c r="U52"/>
  <c r="E52"/>
  <c r="G52" s="1"/>
  <c r="BG52"/>
  <c r="BG12"/>
  <c r="U12"/>
  <c r="BG22"/>
  <c r="T13"/>
  <c r="BH10" i="34"/>
  <c r="BM10"/>
  <c r="BF13" i="33"/>
  <c r="BG13" s="1"/>
  <c r="BH11"/>
  <c r="U11"/>
  <c r="AL13" i="35"/>
  <c r="J13" s="1"/>
  <c r="BQ15"/>
  <c r="BO17"/>
  <c r="I15"/>
  <c r="Q15" s="1"/>
  <c r="T15" s="1"/>
  <c r="V17"/>
  <c r="BP20" i="48"/>
  <c r="BL23"/>
  <c r="BP23"/>
  <c r="BI21"/>
  <c r="BJ21"/>
  <c r="BO14"/>
  <c r="BI13"/>
  <c r="BJ13" s="1"/>
  <c r="BL13"/>
  <c r="BP13" s="1"/>
  <c r="BP17"/>
  <c r="BI23"/>
  <c r="BJ23"/>
  <c r="K20"/>
  <c r="BO21"/>
  <c r="BP21" s="1"/>
  <c r="I23"/>
  <c r="K23" s="1"/>
  <c r="S23" s="1"/>
  <c r="V23" s="1"/>
  <c r="H10" i="46"/>
  <c r="BK10" i="32"/>
  <c r="BL11"/>
  <c r="X82" i="27"/>
  <c r="P81"/>
  <c r="BI81"/>
  <c r="BI12"/>
  <c r="X13"/>
  <c r="P82"/>
  <c r="BH69"/>
  <c r="BH70" s="1"/>
  <c r="E69"/>
  <c r="G69"/>
  <c r="AL17" i="35"/>
  <c r="BP14" i="48"/>
  <c r="BI82" i="27"/>
  <c r="BH12"/>
  <c r="AM28" i="26"/>
  <c r="AN28"/>
  <c r="K28" s="1"/>
  <c r="K20"/>
  <c r="K19"/>
  <c r="BI28"/>
  <c r="Q28" s="1"/>
  <c r="H20"/>
  <c r="AF13" i="27"/>
  <c r="BL41"/>
  <c r="BL36"/>
  <c r="BL35"/>
  <c r="BL37" s="1"/>
  <c r="M11" i="24"/>
  <c r="H9" i="47"/>
  <c r="AF24" i="31"/>
  <c r="J24"/>
  <c r="AC24"/>
  <c r="G24"/>
  <c r="K24"/>
  <c r="Q24"/>
  <c r="BM41" i="22"/>
  <c r="BP41" s="1"/>
  <c r="O41"/>
  <c r="Q41" s="1"/>
  <c r="T41" s="1"/>
  <c r="BH41"/>
  <c r="BI41"/>
  <c r="P136"/>
  <c r="AD34"/>
  <c r="AD32"/>
  <c r="J140"/>
  <c r="J121"/>
  <c r="J75"/>
  <c r="BK92"/>
  <c r="BH92"/>
  <c r="BI92" s="1"/>
  <c r="BJ92"/>
  <c r="BP92" s="1"/>
  <c r="BK49"/>
  <c r="BK24"/>
  <c r="BH127"/>
  <c r="BI127" s="1"/>
  <c r="O47"/>
  <c r="Q47" s="1"/>
  <c r="T47" s="1"/>
  <c r="G119"/>
  <c r="I119"/>
  <c r="BP37"/>
  <c r="G34"/>
  <c r="I34" s="1"/>
  <c r="Q34" s="1"/>
  <c r="T34" s="1"/>
  <c r="BF143"/>
  <c r="BH143"/>
  <c r="BI143" s="1"/>
  <c r="BK133"/>
  <c r="P135"/>
  <c r="O137"/>
  <c r="BM137"/>
  <c r="BM138"/>
  <c r="P133"/>
  <c r="Q133" s="1"/>
  <c r="T133" s="1"/>
  <c r="BH133"/>
  <c r="BI133" s="1"/>
  <c r="BO114"/>
  <c r="BJ104"/>
  <c r="BF107"/>
  <c r="O107" s="1"/>
  <c r="Q107" s="1"/>
  <c r="T107" s="1"/>
  <c r="BF101"/>
  <c r="BH101" s="1"/>
  <c r="BJ93"/>
  <c r="BK93"/>
  <c r="BH93"/>
  <c r="BI93" s="1"/>
  <c r="BF95"/>
  <c r="BH95" s="1"/>
  <c r="BI95" s="1"/>
  <c r="BH87"/>
  <c r="BI87" s="1"/>
  <c r="BK87"/>
  <c r="BP87" s="1"/>
  <c r="G87"/>
  <c r="I87" s="1"/>
  <c r="AD90"/>
  <c r="BP89"/>
  <c r="BH85"/>
  <c r="BI85" s="1"/>
  <c r="BK85"/>
  <c r="G85"/>
  <c r="I85"/>
  <c r="Q85" s="1"/>
  <c r="T85" s="1"/>
  <c r="W90"/>
  <c r="G82"/>
  <c r="I82" s="1"/>
  <c r="Q82" s="1"/>
  <c r="T82" s="1"/>
  <c r="BH82"/>
  <c r="BI82" s="1"/>
  <c r="BK82"/>
  <c r="BP82" s="1"/>
  <c r="P74"/>
  <c r="AD78"/>
  <c r="AK78"/>
  <c r="P78" s="1"/>
  <c r="J74"/>
  <c r="AK12"/>
  <c r="P12" s="1"/>
  <c r="AD14"/>
  <c r="AG66"/>
  <c r="AD60"/>
  <c r="AG60"/>
  <c r="AG14"/>
  <c r="AG12"/>
  <c r="BF29"/>
  <c r="BM29" s="1"/>
  <c r="G40"/>
  <c r="I40" s="1"/>
  <c r="Q40" s="1"/>
  <c r="T40" s="1"/>
  <c r="BK40"/>
  <c r="BK42" s="1"/>
  <c r="BH40"/>
  <c r="BI40"/>
  <c r="BK39"/>
  <c r="G39"/>
  <c r="I39" s="1"/>
  <c r="BH39"/>
  <c r="BI39" s="1"/>
  <c r="J37"/>
  <c r="P37"/>
  <c r="Q37" s="1"/>
  <c r="T37" s="1"/>
  <c r="AK42"/>
  <c r="J42" s="1"/>
  <c r="AG37"/>
  <c r="AF37"/>
  <c r="AD37" s="1"/>
  <c r="AD42" s="1"/>
  <c r="BM35"/>
  <c r="BP35" s="1"/>
  <c r="G31"/>
  <c r="I31"/>
  <c r="Q31" s="1"/>
  <c r="T31" s="1"/>
  <c r="BK31"/>
  <c r="BH31"/>
  <c r="BI31" s="1"/>
  <c r="O35"/>
  <c r="G93"/>
  <c r="I93"/>
  <c r="Q93" s="1"/>
  <c r="T93" s="1"/>
  <c r="BC18" i="27"/>
  <c r="AI56"/>
  <c r="H56" s="1"/>
  <c r="BL29"/>
  <c r="AI29"/>
  <c r="AF30"/>
  <c r="BL30" s="1"/>
  <c r="BL31" s="1"/>
  <c r="M59"/>
  <c r="I82"/>
  <c r="K82"/>
  <c r="BC36"/>
  <c r="BJ36" s="1"/>
  <c r="BJ35"/>
  <c r="M35"/>
  <c r="O35" s="1"/>
  <c r="R35" s="1"/>
  <c r="M68"/>
  <c r="BJ68"/>
  <c r="BJ70" s="1"/>
  <c r="BC69"/>
  <c r="P70"/>
  <c r="AF68"/>
  <c r="BC23"/>
  <c r="E25"/>
  <c r="Q11"/>
  <c r="Q25"/>
  <c r="F25"/>
  <c r="J25"/>
  <c r="L25"/>
  <c r="N25"/>
  <c r="G20"/>
  <c r="AI57"/>
  <c r="BL57"/>
  <c r="BL58" s="1"/>
  <c r="C13"/>
  <c r="M13"/>
  <c r="BJ72"/>
  <c r="M72"/>
  <c r="O72" s="1"/>
  <c r="R72" s="1"/>
  <c r="BL71"/>
  <c r="AI71"/>
  <c r="H71" s="1"/>
  <c r="AF14"/>
  <c r="BL14" s="1"/>
  <c r="BT24" i="26"/>
  <c r="BU24"/>
  <c r="V24"/>
  <c r="Q20"/>
  <c r="R14"/>
  <c r="L9" i="31"/>
  <c r="R9"/>
  <c r="N28" i="49"/>
  <c r="P37"/>
  <c r="H42"/>
  <c r="BT45"/>
  <c r="BO37"/>
  <c r="BQ37"/>
  <c r="BS37"/>
  <c r="BS49" s="1"/>
  <c r="BT32"/>
  <c r="BT34"/>
  <c r="BT36"/>
  <c r="L37"/>
  <c r="J47"/>
  <c r="N47"/>
  <c r="R47"/>
  <c r="P47"/>
  <c r="I47"/>
  <c r="M47"/>
  <c r="H35"/>
  <c r="Q35"/>
  <c r="T35" s="1"/>
  <c r="J37"/>
  <c r="N37"/>
  <c r="R37"/>
  <c r="G37"/>
  <c r="I37"/>
  <c r="K37"/>
  <c r="M37"/>
  <c r="O37"/>
  <c r="Q31"/>
  <c r="T31" s="1"/>
  <c r="Q42"/>
  <c r="T42" s="1"/>
  <c r="BL41"/>
  <c r="BT43"/>
  <c r="BT31"/>
  <c r="BI37"/>
  <c r="BL37"/>
  <c r="BO39"/>
  <c r="BT39"/>
  <c r="BI40"/>
  <c r="BL40"/>
  <c r="BO41"/>
  <c r="BO44"/>
  <c r="BT44" s="1"/>
  <c r="Y49"/>
  <c r="BE49"/>
  <c r="S37"/>
  <c r="BO38"/>
  <c r="BO40"/>
  <c r="F41"/>
  <c r="H41" s="1"/>
  <c r="Q41" s="1"/>
  <c r="T41" s="1"/>
  <c r="F44"/>
  <c r="H44" s="1"/>
  <c r="Q44" s="1"/>
  <c r="T44" s="1"/>
  <c r="P57" i="45"/>
  <c r="I54"/>
  <c r="J47"/>
  <c r="L47"/>
  <c r="N47"/>
  <c r="S47"/>
  <c r="K47"/>
  <c r="M47"/>
  <c r="G26"/>
  <c r="J26"/>
  <c r="L26"/>
  <c r="N26"/>
  <c r="P26"/>
  <c r="S26"/>
  <c r="K26"/>
  <c r="M26"/>
  <c r="O26"/>
  <c r="R16"/>
  <c r="L16"/>
  <c r="G128" i="22"/>
  <c r="I128"/>
  <c r="Q128" s="1"/>
  <c r="T128" s="1"/>
  <c r="BK128"/>
  <c r="BP128"/>
  <c r="BH128"/>
  <c r="BI128"/>
  <c r="AD12"/>
  <c r="BM107"/>
  <c r="BM108" s="1"/>
  <c r="BK43"/>
  <c r="G43"/>
  <c r="I43"/>
  <c r="BM42"/>
  <c r="BH107"/>
  <c r="BI107" s="1"/>
  <c r="BM101"/>
  <c r="BM102" s="1"/>
  <c r="O101"/>
  <c r="Q101" s="1"/>
  <c r="T101" s="1"/>
  <c r="G94"/>
  <c r="I94"/>
  <c r="Q94" s="1"/>
  <c r="T94" s="1"/>
  <c r="BJ94"/>
  <c r="G90"/>
  <c r="I90" s="1"/>
  <c r="BP85"/>
  <c r="BP90" s="1"/>
  <c r="BK90"/>
  <c r="BJ61"/>
  <c r="AF14"/>
  <c r="AF66"/>
  <c r="AD66"/>
  <c r="BP39"/>
  <c r="P42"/>
  <c r="BH35"/>
  <c r="BI35" s="1"/>
  <c r="BM36"/>
  <c r="BK36"/>
  <c r="BH109"/>
  <c r="BI109"/>
  <c r="BJ109"/>
  <c r="G109"/>
  <c r="I109" s="1"/>
  <c r="Q109" s="1"/>
  <c r="T109" s="1"/>
  <c r="BJ105"/>
  <c r="BJ108" s="1"/>
  <c r="G73"/>
  <c r="I73"/>
  <c r="Q73" s="1"/>
  <c r="T73" s="1"/>
  <c r="BJ73"/>
  <c r="G25" i="27"/>
  <c r="M18"/>
  <c r="BJ18"/>
  <c r="H29"/>
  <c r="BE29"/>
  <c r="BF29" s="1"/>
  <c r="M36"/>
  <c r="BM35"/>
  <c r="Q13"/>
  <c r="M69"/>
  <c r="BJ69"/>
  <c r="AI68"/>
  <c r="H68" s="1"/>
  <c r="O68" s="1"/>
  <c r="R68" s="1"/>
  <c r="AF69"/>
  <c r="BL68"/>
  <c r="BL70" s="1"/>
  <c r="BM68"/>
  <c r="N13"/>
  <c r="J13"/>
  <c r="K13"/>
  <c r="BJ23"/>
  <c r="BJ25" s="1"/>
  <c r="BC24"/>
  <c r="M23"/>
  <c r="I13"/>
  <c r="P13"/>
  <c r="AI58"/>
  <c r="H58" s="1"/>
  <c r="H57"/>
  <c r="BE71"/>
  <c r="BF71" s="1"/>
  <c r="BL72"/>
  <c r="BM72" s="1"/>
  <c r="AI72"/>
  <c r="H72"/>
  <c r="BJ73"/>
  <c r="BM71"/>
  <c r="BM73" s="1"/>
  <c r="AF15"/>
  <c r="AI15" s="1"/>
  <c r="H15" s="1"/>
  <c r="AI14"/>
  <c r="H14" s="1"/>
  <c r="BT38" i="49"/>
  <c r="BT41"/>
  <c r="BH94" i="22"/>
  <c r="BI94" s="1"/>
  <c r="BK94"/>
  <c r="BP94" s="1"/>
  <c r="BH73"/>
  <c r="BI73"/>
  <c r="BH62"/>
  <c r="BI62" s="1"/>
  <c r="BJ62"/>
  <c r="BH61"/>
  <c r="BI61"/>
  <c r="BK61"/>
  <c r="BP61"/>
  <c r="G61"/>
  <c r="I61"/>
  <c r="Q61" s="1"/>
  <c r="T61" s="1"/>
  <c r="BK105"/>
  <c r="BK106"/>
  <c r="BJ106"/>
  <c r="BP106"/>
  <c r="G105"/>
  <c r="I105"/>
  <c r="Q105" s="1"/>
  <c r="T105" s="1"/>
  <c r="BH105"/>
  <c r="BI105"/>
  <c r="BK73"/>
  <c r="BE68" i="27"/>
  <c r="BF68" s="1"/>
  <c r="BL69"/>
  <c r="AI69"/>
  <c r="BJ24"/>
  <c r="M24"/>
  <c r="BE72"/>
  <c r="BF72" s="1"/>
  <c r="BE14"/>
  <c r="BF14" s="1"/>
  <c r="BE15"/>
  <c r="BH106" i="22"/>
  <c r="BI106" s="1"/>
  <c r="BH96"/>
  <c r="BI96" s="1"/>
  <c r="G62"/>
  <c r="I62"/>
  <c r="Q62" s="1"/>
  <c r="T62" s="1"/>
  <c r="BK62"/>
  <c r="G106"/>
  <c r="I106" s="1"/>
  <c r="Q106"/>
  <c r="T106" s="1"/>
  <c r="BE69" i="27"/>
  <c r="BF69" s="1"/>
  <c r="H69"/>
  <c r="O15"/>
  <c r="R15" s="1"/>
  <c r="P31" i="31"/>
  <c r="S31"/>
  <c r="I30"/>
  <c r="O30"/>
  <c r="I28"/>
  <c r="O28"/>
  <c r="P28" s="1"/>
  <c r="S28"/>
  <c r="I27"/>
  <c r="O27"/>
  <c r="BO37"/>
  <c r="G13" i="47"/>
  <c r="BT15" i="26"/>
  <c r="I23"/>
  <c r="H23"/>
  <c r="L25"/>
  <c r="BP15"/>
  <c r="Y18"/>
  <c r="Y27" s="1"/>
  <c r="H27" s="1"/>
  <c r="BK13"/>
  <c r="BK25"/>
  <c r="BN25" s="1"/>
  <c r="BM74" i="27"/>
  <c r="S32" i="31"/>
  <c r="I36"/>
  <c r="AJ24"/>
  <c r="O36"/>
  <c r="BP133" i="22"/>
  <c r="BP127"/>
  <c r="BK119"/>
  <c r="W120"/>
  <c r="G120"/>
  <c r="M120"/>
  <c r="G115"/>
  <c r="BJ116"/>
  <c r="BJ120" s="1"/>
  <c r="H115"/>
  <c r="X11"/>
  <c r="H11"/>
  <c r="BK109"/>
  <c r="BP109"/>
  <c r="I96"/>
  <c r="BJ96"/>
  <c r="BP88"/>
  <c r="BL84"/>
  <c r="BJ84"/>
  <c r="BJ151"/>
  <c r="BJ145"/>
  <c r="BJ139"/>
  <c r="BH139"/>
  <c r="BI139"/>
  <c r="G139"/>
  <c r="I139"/>
  <c r="Q139" s="1"/>
  <c r="T139"/>
  <c r="BJ134"/>
  <c r="BK137"/>
  <c r="BP137" s="1"/>
  <c r="G137"/>
  <c r="I137" s="1"/>
  <c r="Q137"/>
  <c r="T137" s="1"/>
  <c r="BH137"/>
  <c r="BI137" s="1"/>
  <c r="BH129"/>
  <c r="BI129" s="1"/>
  <c r="BJ129"/>
  <c r="BH131"/>
  <c r="BI131"/>
  <c r="G131"/>
  <c r="I131"/>
  <c r="Q131" s="1"/>
  <c r="T131"/>
  <c r="BK131"/>
  <c r="BJ121"/>
  <c r="BP115"/>
  <c r="BH115"/>
  <c r="BI115" s="1"/>
  <c r="BJ110"/>
  <c r="G110"/>
  <c r="I110"/>
  <c r="Q110" s="1"/>
  <c r="T110"/>
  <c r="BH110"/>
  <c r="BI110"/>
  <c r="BK104"/>
  <c r="G104"/>
  <c r="I104" s="1"/>
  <c r="Q104" s="1"/>
  <c r="T104" s="1"/>
  <c r="BH104"/>
  <c r="BI104" s="1"/>
  <c r="BH103"/>
  <c r="BI103" s="1"/>
  <c r="G103"/>
  <c r="I103" s="1"/>
  <c r="Q103" s="1"/>
  <c r="T103" s="1"/>
  <c r="BK103"/>
  <c r="BP103" s="1"/>
  <c r="BP107"/>
  <c r="BP104"/>
  <c r="G98"/>
  <c r="I98"/>
  <c r="Q98" s="1"/>
  <c r="T98" s="1"/>
  <c r="BJ98"/>
  <c r="BH98"/>
  <c r="BI98" s="1"/>
  <c r="BP93"/>
  <c r="BK96"/>
  <c r="BJ74"/>
  <c r="G74"/>
  <c r="I74" s="1"/>
  <c r="Q74"/>
  <c r="T74" s="1"/>
  <c r="BH74"/>
  <c r="BI74" s="1"/>
  <c r="BK67"/>
  <c r="BJ67"/>
  <c r="BH67"/>
  <c r="BI67" s="1"/>
  <c r="G65"/>
  <c r="I65"/>
  <c r="BK65"/>
  <c r="BJ63"/>
  <c r="BH63"/>
  <c r="BI63"/>
  <c r="BH55"/>
  <c r="BI55"/>
  <c r="BJ55"/>
  <c r="BK48"/>
  <c r="BJ25"/>
  <c r="BJ11"/>
  <c r="V11"/>
  <c r="G25"/>
  <c r="I25" s="1"/>
  <c r="I115"/>
  <c r="Q115" s="1"/>
  <c r="T115"/>
  <c r="BK116"/>
  <c r="BK120"/>
  <c r="G116"/>
  <c r="I116"/>
  <c r="Q116" s="1"/>
  <c r="T116" s="1"/>
  <c r="BH116"/>
  <c r="BI116" s="1"/>
  <c r="G117"/>
  <c r="BH25"/>
  <c r="BI25"/>
  <c r="X12"/>
  <c r="H12"/>
  <c r="H26"/>
  <c r="BJ27"/>
  <c r="BK153"/>
  <c r="BJ153"/>
  <c r="G153"/>
  <c r="I153"/>
  <c r="Q153" s="1"/>
  <c r="T153"/>
  <c r="BJ152"/>
  <c r="BK152"/>
  <c r="G146"/>
  <c r="I146"/>
  <c r="Q146" s="1"/>
  <c r="T146"/>
  <c r="BH146"/>
  <c r="BI146"/>
  <c r="BJ150"/>
  <c r="BK140"/>
  <c r="BJ140"/>
  <c r="BP140"/>
  <c r="G140"/>
  <c r="I140"/>
  <c r="Q140" s="1"/>
  <c r="T140" s="1"/>
  <c r="BH140"/>
  <c r="BI140"/>
  <c r="BK139"/>
  <c r="BP139"/>
  <c r="BK135"/>
  <c r="BJ135"/>
  <c r="G135"/>
  <c r="I135"/>
  <c r="Q135" s="1"/>
  <c r="T135"/>
  <c r="BK134"/>
  <c r="BH134"/>
  <c r="BI134" s="1"/>
  <c r="G134"/>
  <c r="I134" s="1"/>
  <c r="Q134"/>
  <c r="T134" s="1"/>
  <c r="BK130"/>
  <c r="BJ130"/>
  <c r="BP130"/>
  <c r="G130"/>
  <c r="I130"/>
  <c r="Q130" s="1"/>
  <c r="T130"/>
  <c r="BH130"/>
  <c r="BI130"/>
  <c r="BK129"/>
  <c r="G129"/>
  <c r="I129" s="1"/>
  <c r="Q129" s="1"/>
  <c r="T129" s="1"/>
  <c r="BK123"/>
  <c r="BP123" s="1"/>
  <c r="BH123"/>
  <c r="BI123"/>
  <c r="G123"/>
  <c r="I123"/>
  <c r="Q123" s="1"/>
  <c r="T123" s="1"/>
  <c r="BJ123"/>
  <c r="BJ122"/>
  <c r="BK122"/>
  <c r="BP122" s="1"/>
  <c r="G122"/>
  <c r="I122" s="1"/>
  <c r="Q122" s="1"/>
  <c r="T122" s="1"/>
  <c r="BK121"/>
  <c r="G121"/>
  <c r="I121"/>
  <c r="Q121" s="1"/>
  <c r="T121" s="1"/>
  <c r="BH121"/>
  <c r="BI121"/>
  <c r="BK111"/>
  <c r="BH111"/>
  <c r="BI111" s="1"/>
  <c r="BJ111"/>
  <c r="BP111" s="1"/>
  <c r="G111"/>
  <c r="I111" s="1"/>
  <c r="BK110"/>
  <c r="G108"/>
  <c r="G97"/>
  <c r="I97"/>
  <c r="Q97" s="1"/>
  <c r="T97"/>
  <c r="BK97"/>
  <c r="BP97"/>
  <c r="BH97"/>
  <c r="BI97"/>
  <c r="BK98"/>
  <c r="BP98" s="1"/>
  <c r="BK99"/>
  <c r="BJ99"/>
  <c r="BP99"/>
  <c r="BK75"/>
  <c r="BJ75"/>
  <c r="G75"/>
  <c r="I75"/>
  <c r="Q75" s="1"/>
  <c r="T75" s="1"/>
  <c r="BH75"/>
  <c r="BI75"/>
  <c r="BK74"/>
  <c r="BP74"/>
  <c r="BK68"/>
  <c r="BJ68"/>
  <c r="BH68"/>
  <c r="BI68"/>
  <c r="G68"/>
  <c r="I68"/>
  <c r="Q68" s="1"/>
  <c r="T68" s="1"/>
  <c r="I67"/>
  <c r="Q67"/>
  <c r="T67" s="1"/>
  <c r="BH69"/>
  <c r="BI69" s="1"/>
  <c r="BJ69"/>
  <c r="BK69"/>
  <c r="BP69"/>
  <c r="BJ64"/>
  <c r="BK64"/>
  <c r="BK63"/>
  <c r="BP63"/>
  <c r="I63"/>
  <c r="Q63"/>
  <c r="T63" s="1"/>
  <c r="BJ57"/>
  <c r="BK57"/>
  <c r="BK56"/>
  <c r="BJ56"/>
  <c r="BH56"/>
  <c r="BI56" s="1"/>
  <c r="BK25"/>
  <c r="BH26"/>
  <c r="BI26"/>
  <c r="BJ26"/>
  <c r="G152"/>
  <c r="I152" s="1"/>
  <c r="Q152" s="1"/>
  <c r="T152" s="1"/>
  <c r="BH122"/>
  <c r="BI122" s="1"/>
  <c r="BP116"/>
  <c r="H117"/>
  <c r="I117"/>
  <c r="Q117" s="1"/>
  <c r="T117" s="1"/>
  <c r="X120"/>
  <c r="H118"/>
  <c r="BK118"/>
  <c r="BP118" s="1"/>
  <c r="BK117"/>
  <c r="BP117" s="1"/>
  <c r="BH117"/>
  <c r="BI117" s="1"/>
  <c r="X14"/>
  <c r="H28"/>
  <c r="H27"/>
  <c r="H13"/>
  <c r="X30"/>
  <c r="X18" s="1"/>
  <c r="BJ154"/>
  <c r="BJ156"/>
  <c r="BK154"/>
  <c r="BH152"/>
  <c r="BI152" s="1"/>
  <c r="BH153"/>
  <c r="BI153" s="1"/>
  <c r="BP153"/>
  <c r="BH148"/>
  <c r="BI148"/>
  <c r="G148"/>
  <c r="I148"/>
  <c r="BJ141"/>
  <c r="G141"/>
  <c r="I141" s="1"/>
  <c r="Q141" s="1"/>
  <c r="BH135"/>
  <c r="BI135" s="1"/>
  <c r="BP134"/>
  <c r="G136"/>
  <c r="I136"/>
  <c r="Q136" s="1"/>
  <c r="T136" s="1"/>
  <c r="BJ136"/>
  <c r="BJ138"/>
  <c r="BP129"/>
  <c r="G132"/>
  <c r="I132" s="1"/>
  <c r="BJ132"/>
  <c r="BJ124"/>
  <c r="G124"/>
  <c r="I124" s="1"/>
  <c r="Q124" s="1"/>
  <c r="T124" s="1"/>
  <c r="BH124"/>
  <c r="BI124" s="1"/>
  <c r="BP121"/>
  <c r="G112"/>
  <c r="I112" s="1"/>
  <c r="BJ112"/>
  <c r="BJ114" s="1"/>
  <c r="G99"/>
  <c r="I99" s="1"/>
  <c r="Q99" s="1"/>
  <c r="T99" s="1"/>
  <c r="BH99"/>
  <c r="BK100"/>
  <c r="BK102"/>
  <c r="BJ100"/>
  <c r="BP100"/>
  <c r="G76"/>
  <c r="I76"/>
  <c r="Q76" s="1"/>
  <c r="T76" s="1"/>
  <c r="BJ76"/>
  <c r="G69"/>
  <c r="I69" s="1"/>
  <c r="BK70"/>
  <c r="BJ70"/>
  <c r="G64"/>
  <c r="I64" s="1"/>
  <c r="BJ58"/>
  <c r="BJ60" s="1"/>
  <c r="G58"/>
  <c r="I58"/>
  <c r="Q58" s="1"/>
  <c r="T58" s="1"/>
  <c r="BK27"/>
  <c r="BJ28"/>
  <c r="G28"/>
  <c r="I28" s="1"/>
  <c r="Q28" s="1"/>
  <c r="T28" s="1"/>
  <c r="G27"/>
  <c r="I27" s="1"/>
  <c r="Q27" s="1"/>
  <c r="T27" s="1"/>
  <c r="G26"/>
  <c r="I26" s="1"/>
  <c r="Q26" s="1"/>
  <c r="T26" s="1"/>
  <c r="BK26"/>
  <c r="BP26" s="1"/>
  <c r="G154"/>
  <c r="I154"/>
  <c r="Q154" s="1"/>
  <c r="T154" s="1"/>
  <c r="BH141"/>
  <c r="BI141"/>
  <c r="BH136"/>
  <c r="BI136"/>
  <c r="H120"/>
  <c r="BH118"/>
  <c r="BI118" s="1"/>
  <c r="G118"/>
  <c r="I118" s="1"/>
  <c r="Q118" s="1"/>
  <c r="T118" s="1"/>
  <c r="BH112"/>
  <c r="BI112" s="1"/>
  <c r="BH27"/>
  <c r="BI27" s="1"/>
  <c r="H30"/>
  <c r="BH154"/>
  <c r="BI154" s="1"/>
  <c r="BP154"/>
  <c r="BJ142"/>
  <c r="BJ144"/>
  <c r="BK142"/>
  <c r="BK141"/>
  <c r="BP141" s="1"/>
  <c r="BK136"/>
  <c r="BK138" s="1"/>
  <c r="BK124"/>
  <c r="BK112"/>
  <c r="BK114"/>
  <c r="G114"/>
  <c r="I114"/>
  <c r="Q114" s="1"/>
  <c r="T114" s="1"/>
  <c r="BH100"/>
  <c r="BI100"/>
  <c r="BJ102"/>
  <c r="G100"/>
  <c r="I100" s="1"/>
  <c r="Q100" s="1"/>
  <c r="T100" s="1"/>
  <c r="G102"/>
  <c r="I102" s="1"/>
  <c r="Q102" s="1"/>
  <c r="T102" s="1"/>
  <c r="BI99"/>
  <c r="BK76"/>
  <c r="BP76"/>
  <c r="BK58"/>
  <c r="BH58"/>
  <c r="BI58" s="1"/>
  <c r="BH28"/>
  <c r="BI28" s="1"/>
  <c r="BK28"/>
  <c r="BP28" s="1"/>
  <c r="G142"/>
  <c r="I142" s="1"/>
  <c r="Q142" s="1"/>
  <c r="T142" s="1"/>
  <c r="G144"/>
  <c r="I144" s="1"/>
  <c r="Q144" s="1"/>
  <c r="T144" s="1"/>
  <c r="BH144"/>
  <c r="BI144" s="1"/>
  <c r="BH142"/>
  <c r="BI142" s="1"/>
  <c r="G138"/>
  <c r="I138" s="1"/>
  <c r="BH138"/>
  <c r="BI138" s="1"/>
  <c r="BP136"/>
  <c r="BP135"/>
  <c r="BO96"/>
  <c r="BP91"/>
  <c r="Q87"/>
  <c r="T87" s="1"/>
  <c r="BO13"/>
  <c r="BO12"/>
  <c r="BP27"/>
  <c r="K30"/>
  <c r="Q25"/>
  <c r="T25" s="1"/>
  <c r="BO30"/>
  <c r="AM18"/>
  <c r="K18"/>
  <c r="BN16"/>
  <c r="N18"/>
  <c r="BN18"/>
  <c r="BM149"/>
  <c r="BP131"/>
  <c r="BI101"/>
  <c r="BH102"/>
  <c r="BI102"/>
  <c r="BP101"/>
  <c r="BL138"/>
  <c r="R138"/>
  <c r="BP40"/>
  <c r="BL42"/>
  <c r="BP38"/>
  <c r="BP42" s="1"/>
  <c r="BL36"/>
  <c r="AB18"/>
  <c r="BP31"/>
  <c r="BP36" s="1"/>
  <c r="BL30"/>
  <c r="R30"/>
  <c r="BP25"/>
  <c r="W150"/>
  <c r="BK145"/>
  <c r="BP145" s="1"/>
  <c r="G145"/>
  <c r="I145" s="1"/>
  <c r="Q145" s="1"/>
  <c r="T145" s="1"/>
  <c r="BP112"/>
  <c r="BP57"/>
  <c r="BP58"/>
  <c r="BP47"/>
  <c r="I33"/>
  <c r="Q33" s="1"/>
  <c r="T33" s="1"/>
  <c r="BH169"/>
  <c r="BI169"/>
  <c r="G169"/>
  <c r="I169"/>
  <c r="BP75"/>
  <c r="BH76"/>
  <c r="BI76" s="1"/>
  <c r="W72"/>
  <c r="G70"/>
  <c r="I70" s="1"/>
  <c r="Q70" s="1"/>
  <c r="T70" s="1"/>
  <c r="BP67"/>
  <c r="BK72"/>
  <c r="BH70"/>
  <c r="BI70" s="1"/>
  <c r="BH71"/>
  <c r="BI71" s="1"/>
  <c r="W66"/>
  <c r="G66" s="1"/>
  <c r="I66" s="1"/>
  <c r="BH64"/>
  <c r="BI64"/>
  <c r="BP64"/>
  <c r="BK66"/>
  <c r="BP56"/>
  <c r="G57"/>
  <c r="I57" s="1"/>
  <c r="Q57" s="1"/>
  <c r="T57" s="1"/>
  <c r="BH57"/>
  <c r="BI57" s="1"/>
  <c r="BK55"/>
  <c r="BK60" s="1"/>
  <c r="G56"/>
  <c r="I56"/>
  <c r="Q56" s="1"/>
  <c r="T56" s="1"/>
  <c r="G55"/>
  <c r="I55"/>
  <c r="Q55" s="1"/>
  <c r="T55" s="1"/>
  <c r="BJ50"/>
  <c r="V12"/>
  <c r="R16"/>
  <c r="R53"/>
  <c r="BL53"/>
  <c r="BL16"/>
  <c r="BH53"/>
  <c r="BI53"/>
  <c r="G49"/>
  <c r="I49"/>
  <c r="Q49" s="1"/>
  <c r="BN4"/>
  <c r="BM48"/>
  <c r="BI22"/>
  <c r="BM161"/>
  <c r="BM162"/>
  <c r="O162"/>
  <c r="BM150"/>
  <c r="G150"/>
  <c r="I150" s="1"/>
  <c r="BP55"/>
  <c r="BH49"/>
  <c r="BI49" s="1"/>
  <c r="W12"/>
  <c r="BK51"/>
  <c r="BJ51"/>
  <c r="BJ13" s="1"/>
  <c r="Z11"/>
  <c r="R11" s="1"/>
  <c r="R49"/>
  <c r="BL49"/>
  <c r="BL11"/>
  <c r="Z12"/>
  <c r="R12"/>
  <c r="R50"/>
  <c r="BL50"/>
  <c r="BL12" s="1"/>
  <c r="BH50"/>
  <c r="BI50" s="1"/>
  <c r="G48"/>
  <c r="I48" s="1"/>
  <c r="G51"/>
  <c r="I51" s="1"/>
  <c r="Q51" s="1"/>
  <c r="BH51"/>
  <c r="BI51"/>
  <c r="R51"/>
  <c r="BL51"/>
  <c r="BL13" s="1"/>
  <c r="V14"/>
  <c r="BJ52"/>
  <c r="BK45"/>
  <c r="BP45" s="1"/>
  <c r="BK44"/>
  <c r="BP44" s="1"/>
  <c r="Z18"/>
  <c r="R18" s="1"/>
  <c r="R54"/>
  <c r="BK52"/>
  <c r="W14"/>
  <c r="R52"/>
  <c r="BL52"/>
  <c r="Z14"/>
  <c r="R14"/>
  <c r="G52"/>
  <c r="I52"/>
  <c r="Q52" s="1"/>
  <c r="BH44"/>
  <c r="BI44" s="1"/>
  <c r="G45"/>
  <c r="I45" s="1"/>
  <c r="Q45" s="1"/>
  <c r="T45" s="1"/>
  <c r="BH45"/>
  <c r="BI45" s="1"/>
  <c r="BK46"/>
  <c r="BP46" s="1"/>
  <c r="G44"/>
  <c r="I44" s="1"/>
  <c r="Q44" s="1"/>
  <c r="T44" s="1"/>
  <c r="BH46"/>
  <c r="BI46" s="1"/>
  <c r="G46"/>
  <c r="I46" s="1"/>
  <c r="Q46" s="1"/>
  <c r="T46" s="1"/>
  <c r="BO79"/>
  <c r="BO84" s="1"/>
  <c r="P79"/>
  <c r="J79"/>
  <c r="J84"/>
  <c r="P84"/>
  <c r="BO175"/>
  <c r="BO17" s="1"/>
  <c r="AL176"/>
  <c r="J176" s="1"/>
  <c r="Q176" s="1"/>
  <c r="J175"/>
  <c r="Q175" s="1"/>
  <c r="T175" s="1"/>
  <c r="AL17"/>
  <c r="BH17"/>
  <c r="BI17" s="1"/>
  <c r="BH175"/>
  <c r="BI175" s="1"/>
  <c r="AG17"/>
  <c r="AG176"/>
  <c r="BP175"/>
  <c r="BP176" s="1"/>
  <c r="BO176"/>
  <c r="BM65"/>
  <c r="O65"/>
  <c r="O113"/>
  <c r="Q113"/>
  <c r="T113" s="1"/>
  <c r="BM113"/>
  <c r="BM114" s="1"/>
  <c r="BH113"/>
  <c r="BI113" s="1"/>
  <c r="O119"/>
  <c r="Q119" s="1"/>
  <c r="T119" s="1"/>
  <c r="BH119"/>
  <c r="BI119"/>
  <c r="BM119"/>
  <c r="BM120"/>
  <c r="BM125"/>
  <c r="O125"/>
  <c r="BK160"/>
  <c r="BP160"/>
  <c r="BH160"/>
  <c r="BI160"/>
  <c r="G160"/>
  <c r="I160"/>
  <c r="Q160" s="1"/>
  <c r="T160" s="1"/>
  <c r="G158"/>
  <c r="I158"/>
  <c r="Q158" s="1"/>
  <c r="T158" s="1"/>
  <c r="BH158"/>
  <c r="BI158"/>
  <c r="BK158"/>
  <c r="BP158"/>
  <c r="BK81"/>
  <c r="G81"/>
  <c r="I81"/>
  <c r="J17"/>
  <c r="Q17"/>
  <c r="T17" s="1"/>
  <c r="BK150"/>
  <c r="BP124"/>
  <c r="BJ14"/>
  <c r="BJ72"/>
  <c r="BP105"/>
  <c r="W13"/>
  <c r="J13"/>
  <c r="W162"/>
  <c r="BK157"/>
  <c r="BP157" s="1"/>
  <c r="G157"/>
  <c r="I157" s="1"/>
  <c r="Q157" s="1"/>
  <c r="T157" s="1"/>
  <c r="BH157"/>
  <c r="BH159"/>
  <c r="BK159"/>
  <c r="BP159" s="1"/>
  <c r="G159"/>
  <c r="I159" s="1"/>
  <c r="Q159" s="1"/>
  <c r="T159" s="1"/>
  <c r="BK80"/>
  <c r="G80"/>
  <c r="I80"/>
  <c r="Q80" s="1"/>
  <c r="T80" s="1"/>
  <c r="BH80"/>
  <c r="BI80"/>
  <c r="G42"/>
  <c r="I42"/>
  <c r="Q42" s="1"/>
  <c r="T42" s="1"/>
  <c r="BH42"/>
  <c r="BI42"/>
  <c r="J90"/>
  <c r="Q90" s="1"/>
  <c r="T90" s="1"/>
  <c r="BH90"/>
  <c r="BI90" s="1"/>
  <c r="BK14"/>
  <c r="BP73"/>
  <c r="AE18"/>
  <c r="BM13"/>
  <c r="BM11"/>
  <c r="BJ16"/>
  <c r="BM15"/>
  <c r="V30"/>
  <c r="BH161"/>
  <c r="BH162"/>
  <c r="BI162" s="1"/>
  <c r="V162"/>
  <c r="G162"/>
  <c r="AG42"/>
  <c r="V13"/>
  <c r="O143"/>
  <c r="Q143"/>
  <c r="T143" s="1"/>
  <c r="BP22"/>
  <c r="BM14"/>
  <c r="BM12"/>
  <c r="BK176"/>
  <c r="BO14"/>
  <c r="AH18"/>
  <c r="J12"/>
  <c r="AJ18"/>
  <c r="BI159"/>
  <c r="BA49" i="49"/>
  <c r="BG49"/>
  <c r="AS49"/>
  <c r="F47"/>
  <c r="H47" s="1"/>
  <c r="Q47" s="1"/>
  <c r="T47" s="1"/>
  <c r="AK49"/>
  <c r="BM126" i="22"/>
  <c r="BP113"/>
  <c r="BM66"/>
  <c r="BO43"/>
  <c r="BO48" s="1"/>
  <c r="AL48"/>
  <c r="J48" s="1"/>
  <c r="BH43"/>
  <c r="BI43"/>
  <c r="AL11"/>
  <c r="AF11"/>
  <c r="AF48"/>
  <c r="AK11"/>
  <c r="P11" s="1"/>
  <c r="AG11"/>
  <c r="AG48"/>
  <c r="AG18"/>
  <c r="J43"/>
  <c r="AK48"/>
  <c r="P48" s="1"/>
  <c r="Q48" s="1"/>
  <c r="T48" s="1"/>
  <c r="BP43"/>
  <c r="P43"/>
  <c r="Q43" s="1"/>
  <c r="T43" s="1"/>
  <c r="AD48"/>
  <c r="G10" i="42"/>
  <c r="F16" i="31"/>
  <c r="BO46" i="40"/>
  <c r="BO75"/>
  <c r="I30"/>
  <c r="Q30"/>
  <c r="T30" s="1"/>
  <c r="AL46"/>
  <c r="J46" s="1"/>
  <c r="BT37"/>
  <c r="BL38"/>
  <c r="BR37"/>
  <c r="BM38"/>
  <c r="BS37"/>
  <c r="G38"/>
  <c r="BH38"/>
  <c r="BK38" s="1"/>
  <c r="BQ37"/>
  <c r="BQ38" s="1"/>
  <c r="BH45"/>
  <c r="H43"/>
  <c r="I43" s="1"/>
  <c r="Q43" s="1"/>
  <c r="T43" s="1"/>
  <c r="Y45"/>
  <c r="H45" s="1"/>
  <c r="BQ60"/>
  <c r="G60"/>
  <c r="I60"/>
  <c r="Q60" s="1"/>
  <c r="T60" s="1"/>
  <c r="BP69"/>
  <c r="BP77"/>
  <c r="BQ68"/>
  <c r="BQ11"/>
  <c r="H14"/>
  <c r="I11"/>
  <c r="Q11" s="1"/>
  <c r="T11" s="1"/>
  <c r="G14"/>
  <c r="BH14"/>
  <c r="BH71" s="1"/>
  <c r="BK71" s="1"/>
  <c r="Y46"/>
  <c r="H46" s="1"/>
  <c r="BK45"/>
  <c r="BQ49" i="49"/>
  <c r="BI49"/>
  <c r="BL49"/>
  <c r="F37"/>
  <c r="H37"/>
  <c r="Q37" s="1"/>
  <c r="T37" s="1"/>
  <c r="BT33"/>
  <c r="W49"/>
  <c r="N10" i="25"/>
  <c r="O10"/>
  <c r="R10" s="1"/>
  <c r="BI43" i="45"/>
  <c r="BL43" s="1"/>
  <c r="BI33"/>
  <c r="BL33" s="1"/>
  <c r="BI41"/>
  <c r="BL41" s="1"/>
  <c r="BI37"/>
  <c r="BL37" s="1"/>
  <c r="R47"/>
  <c r="BI52"/>
  <c r="BI54"/>
  <c r="BL54" s="1"/>
  <c r="BI55"/>
  <c r="BI57" s="1"/>
  <c r="BL57" s="1"/>
  <c r="K49" i="49"/>
  <c r="L49"/>
  <c r="M49"/>
  <c r="R49"/>
  <c r="N49"/>
  <c r="O49"/>
  <c r="G49"/>
  <c r="S49"/>
  <c r="BL18"/>
  <c r="BI20"/>
  <c r="BI28" s="1"/>
  <c r="BL28" s="1"/>
  <c r="J49"/>
  <c r="P49"/>
  <c r="BO47"/>
  <c r="BR26"/>
  <c r="BR28" s="1"/>
  <c r="BO26"/>
  <c r="BO28" s="1"/>
  <c r="S28"/>
  <c r="K28"/>
  <c r="BT25"/>
  <c r="BT26" s="1"/>
  <c r="F49"/>
  <c r="H49" s="1"/>
  <c r="I49"/>
  <c r="BT47"/>
  <c r="Q22"/>
  <c r="T22" s="1"/>
  <c r="BQ26"/>
  <c r="BS26"/>
  <c r="BS28"/>
  <c r="BP26"/>
  <c r="BP28"/>
  <c r="BN26"/>
  <c r="BN28"/>
  <c r="AZ28"/>
  <c r="L28"/>
  <c r="K57" i="45"/>
  <c r="BT33"/>
  <c r="H31"/>
  <c r="H39"/>
  <c r="J50"/>
  <c r="R50"/>
  <c r="L50"/>
  <c r="O57"/>
  <c r="R54"/>
  <c r="H45"/>
  <c r="R28" i="26"/>
  <c r="BI22" i="45"/>
  <c r="BL22"/>
  <c r="BS14"/>
  <c r="BS22"/>
  <c r="BT22" s="1"/>
  <c r="BS24"/>
  <c r="BT24" s="1"/>
  <c r="AL31"/>
  <c r="I31" s="1"/>
  <c r="Q31" s="1"/>
  <c r="T31" s="1"/>
  <c r="J22" i="26"/>
  <c r="S22" s="1"/>
  <c r="V22" s="1"/>
  <c r="I14" i="45"/>
  <c r="G57"/>
  <c r="G54"/>
  <c r="H54"/>
  <c r="AL12"/>
  <c r="H57"/>
  <c r="BT12"/>
  <c r="BU15" i="26"/>
  <c r="S19"/>
  <c r="L23"/>
  <c r="AN18"/>
  <c r="Q18"/>
  <c r="Q14"/>
  <c r="T18"/>
  <c r="H12"/>
  <c r="J12"/>
  <c r="M18"/>
  <c r="BS14"/>
  <c r="BT22"/>
  <c r="BT23"/>
  <c r="BP22"/>
  <c r="BP23"/>
  <c r="BP26" s="1"/>
  <c r="N18"/>
  <c r="BT17"/>
  <c r="BU17"/>
  <c r="L20"/>
  <c r="T12"/>
  <c r="Q12"/>
  <c r="R18"/>
  <c r="U26"/>
  <c r="AN12"/>
  <c r="AN26" s="1"/>
  <c r="BJ26"/>
  <c r="AN25"/>
  <c r="K25" s="1"/>
  <c r="K13"/>
  <c r="S13" s="1"/>
  <c r="V13" s="1"/>
  <c r="BT13"/>
  <c r="N14"/>
  <c r="K16" i="45"/>
  <c r="L54"/>
  <c r="O47"/>
  <c r="BH16"/>
  <c r="O16" s="1"/>
  <c r="H33"/>
  <c r="H43"/>
  <c r="K14" i="40"/>
  <c r="BN13" i="26"/>
  <c r="BT25"/>
  <c r="L14"/>
  <c r="Q27" i="40"/>
  <c r="T27" s="1"/>
  <c r="BM43"/>
  <c r="BQ43" s="1"/>
  <c r="J61"/>
  <c r="I29"/>
  <c r="Q29" s="1"/>
  <c r="T29" s="1"/>
  <c r="BQ34"/>
  <c r="X76"/>
  <c r="H76" s="1"/>
  <c r="J20"/>
  <c r="K17" i="48"/>
  <c r="S17" s="1"/>
  <c r="V17" s="1"/>
  <c r="H20" i="40"/>
  <c r="I19"/>
  <c r="R26"/>
  <c r="Y75"/>
  <c r="H75" s="1"/>
  <c r="H25" i="31"/>
  <c r="Q27" i="26"/>
  <c r="R27"/>
  <c r="Z28"/>
  <c r="I28" s="1"/>
  <c r="BP18"/>
  <c r="BP27"/>
  <c r="S16"/>
  <c r="V16"/>
  <c r="P18"/>
  <c r="U20"/>
  <c r="I20"/>
  <c r="J20"/>
  <c r="M20"/>
  <c r="O20"/>
  <c r="S20" s="1"/>
  <c r="U12"/>
  <c r="P12"/>
  <c r="L12"/>
  <c r="BO12"/>
  <c r="BO26" s="1"/>
  <c r="BK16"/>
  <c r="BN16" s="1"/>
  <c r="BK11"/>
  <c r="AD26"/>
  <c r="T26" s="1"/>
  <c r="BG26"/>
  <c r="O26"/>
  <c r="K14"/>
  <c r="Z26"/>
  <c r="I26" s="1"/>
  <c r="J26" s="1"/>
  <c r="U27"/>
  <c r="T27"/>
  <c r="BF15" i="27"/>
  <c r="M17"/>
  <c r="BJ17"/>
  <c r="M47"/>
  <c r="BC48"/>
  <c r="BC33"/>
  <c r="BJ33" s="1"/>
  <c r="BJ34" s="1"/>
  <c r="M32"/>
  <c r="H74"/>
  <c r="O74" s="1"/>
  <c r="R74" s="1"/>
  <c r="BE74"/>
  <c r="BF74"/>
  <c r="AI76"/>
  <c r="BK67"/>
  <c r="L67"/>
  <c r="BE44"/>
  <c r="BF44" s="1"/>
  <c r="H44"/>
  <c r="O44" s="1"/>
  <c r="AI46"/>
  <c r="BK34"/>
  <c r="L34"/>
  <c r="BK28"/>
  <c r="L28"/>
  <c r="BK22"/>
  <c r="L22"/>
  <c r="BK16"/>
  <c r="BK13" s="1"/>
  <c r="BK91" s="1"/>
  <c r="BB13"/>
  <c r="L13"/>
  <c r="AF47"/>
  <c r="N49"/>
  <c r="I49"/>
  <c r="E49"/>
  <c r="F49"/>
  <c r="J49"/>
  <c r="AF32"/>
  <c r="J34"/>
  <c r="F34"/>
  <c r="Q34"/>
  <c r="M34"/>
  <c r="E34"/>
  <c r="G34" s="1"/>
  <c r="E79"/>
  <c r="G79"/>
  <c r="F79"/>
  <c r="N79"/>
  <c r="O79" s="1"/>
  <c r="R79" s="1"/>
  <c r="J79"/>
  <c r="P79"/>
  <c r="AI16"/>
  <c r="BM69"/>
  <c r="BM70" s="1"/>
  <c r="BI34"/>
  <c r="BM45"/>
  <c r="BM46"/>
  <c r="BI46"/>
  <c r="BI49"/>
  <c r="BI55"/>
  <c r="BM78"/>
  <c r="BM79" s="1"/>
  <c r="BM84"/>
  <c r="P85"/>
  <c r="E67"/>
  <c r="G67" s="1"/>
  <c r="E16"/>
  <c r="G16"/>
  <c r="G71"/>
  <c r="G41"/>
  <c r="F82"/>
  <c r="G82"/>
  <c r="W13"/>
  <c r="F13"/>
  <c r="BE35"/>
  <c r="BF35"/>
  <c r="AI37"/>
  <c r="H50"/>
  <c r="O50" s="1"/>
  <c r="R50" s="1"/>
  <c r="BE50"/>
  <c r="BF50"/>
  <c r="BC30"/>
  <c r="BJ30" s="1"/>
  <c r="BJ29"/>
  <c r="BJ14"/>
  <c r="M14"/>
  <c r="BC63"/>
  <c r="BJ63" s="1"/>
  <c r="BJ64" s="1"/>
  <c r="M62"/>
  <c r="M53"/>
  <c r="BC54"/>
  <c r="BJ53"/>
  <c r="BH52"/>
  <c r="BM50"/>
  <c r="BE77"/>
  <c r="BF77" s="1"/>
  <c r="H77"/>
  <c r="O77" s="1"/>
  <c r="BC80"/>
  <c r="J82"/>
  <c r="M82"/>
  <c r="AF80"/>
  <c r="M46"/>
  <c r="K46"/>
  <c r="I46"/>
  <c r="F46"/>
  <c r="G46" s="1"/>
  <c r="P46"/>
  <c r="BC42"/>
  <c r="BJ41"/>
  <c r="I16"/>
  <c r="M16"/>
  <c r="O16" s="1"/>
  <c r="K16"/>
  <c r="P16"/>
  <c r="N85"/>
  <c r="J85"/>
  <c r="Q85"/>
  <c r="AF62"/>
  <c r="AI62" s="1"/>
  <c r="N64"/>
  <c r="K64"/>
  <c r="I64"/>
  <c r="P64"/>
  <c r="E64"/>
  <c r="G64"/>
  <c r="AF23"/>
  <c r="K25"/>
  <c r="P25"/>
  <c r="BC65"/>
  <c r="N67"/>
  <c r="J67"/>
  <c r="F67"/>
  <c r="Q67"/>
  <c r="AF65"/>
  <c r="BJ22"/>
  <c r="BI11"/>
  <c r="BI40"/>
  <c r="BI61"/>
  <c r="BM75"/>
  <c r="BM76"/>
  <c r="R44"/>
  <c r="O45"/>
  <c r="R45"/>
  <c r="R77"/>
  <c r="O78"/>
  <c r="R78"/>
  <c r="O84"/>
  <c r="R84"/>
  <c r="G14"/>
  <c r="O14" s="1"/>
  <c r="G13" i="33"/>
  <c r="O13"/>
  <c r="R13" s="1"/>
  <c r="E10" i="46"/>
  <c r="G10" s="1"/>
  <c r="BG10"/>
  <c r="BJ10"/>
  <c r="BL10"/>
  <c r="BP10"/>
  <c r="BK10" i="38"/>
  <c r="BN10"/>
  <c r="BF10"/>
  <c r="BI10"/>
  <c r="F10"/>
  <c r="L28" i="26"/>
  <c r="M28"/>
  <c r="N28"/>
  <c r="BK14"/>
  <c r="BN14"/>
  <c r="BN26" i="45"/>
  <c r="BQ26"/>
  <c r="BI50"/>
  <c r="BL50"/>
  <c r="BL55"/>
  <c r="AL57"/>
  <c r="I57"/>
  <c r="O24" i="31"/>
  <c r="H10"/>
  <c r="AK15"/>
  <c r="I15"/>
  <c r="G19"/>
  <c r="BF17"/>
  <c r="BG17" s="1"/>
  <c r="G15"/>
  <c r="H15" s="1"/>
  <c r="BF15"/>
  <c r="BG15" s="1"/>
  <c r="F13"/>
  <c r="H13" s="1"/>
  <c r="G20"/>
  <c r="H20" s="1"/>
  <c r="G18"/>
  <c r="H18" s="1"/>
  <c r="G16"/>
  <c r="H16" s="1"/>
  <c r="BL24"/>
  <c r="AK14"/>
  <c r="I14"/>
  <c r="AK11"/>
  <c r="BF11"/>
  <c r="BG11" s="1"/>
  <c r="I12" i="45"/>
  <c r="BI12"/>
  <c r="BL12"/>
  <c r="AL16"/>
  <c r="I16"/>
  <c r="K26" i="26"/>
  <c r="K18"/>
  <c r="AN27"/>
  <c r="K27"/>
  <c r="BU13"/>
  <c r="BU25"/>
  <c r="BT14"/>
  <c r="BK12"/>
  <c r="BN11"/>
  <c r="BK18"/>
  <c r="U85" i="27"/>
  <c r="BH83"/>
  <c r="BE83"/>
  <c r="BF83"/>
  <c r="U11"/>
  <c r="E11"/>
  <c r="G11" s="1"/>
  <c r="AI23"/>
  <c r="BL23"/>
  <c r="BM23" s="1"/>
  <c r="AF24"/>
  <c r="AF11"/>
  <c r="M80"/>
  <c r="BC81"/>
  <c r="BJ81" s="1"/>
  <c r="BJ80"/>
  <c r="M65"/>
  <c r="BC11"/>
  <c r="M11" s="1"/>
  <c r="BJ42"/>
  <c r="M42"/>
  <c r="AF81"/>
  <c r="BL81" s="1"/>
  <c r="M63"/>
  <c r="M30"/>
  <c r="BE37"/>
  <c r="BF37" s="1"/>
  <c r="H37"/>
  <c r="O37" s="1"/>
  <c r="R37" s="1"/>
  <c r="H16"/>
  <c r="BE16"/>
  <c r="H46"/>
  <c r="BE46"/>
  <c r="BF46" s="1"/>
  <c r="BJ48"/>
  <c r="BM48" s="1"/>
  <c r="M48"/>
  <c r="BJ19"/>
  <c r="E83"/>
  <c r="G83"/>
  <c r="O83" s="1"/>
  <c r="R83"/>
  <c r="G49"/>
  <c r="AF66"/>
  <c r="BL65"/>
  <c r="BL67" s="1"/>
  <c r="AI65"/>
  <c r="BL62"/>
  <c r="AF63"/>
  <c r="AI63" s="1"/>
  <c r="M54"/>
  <c r="BJ54"/>
  <c r="BM29"/>
  <c r="BJ31"/>
  <c r="BL32"/>
  <c r="BM32" s="1"/>
  <c r="AI32"/>
  <c r="AF33"/>
  <c r="AF48"/>
  <c r="BL47"/>
  <c r="BM47" s="1"/>
  <c r="BM49" s="1"/>
  <c r="AI47"/>
  <c r="BE76"/>
  <c r="BF76" s="1"/>
  <c r="H76"/>
  <c r="M33"/>
  <c r="R14"/>
  <c r="BN14" i="31"/>
  <c r="I11"/>
  <c r="BU14" i="26"/>
  <c r="BN12"/>
  <c r="BK26"/>
  <c r="BN26"/>
  <c r="BL63" i="27"/>
  <c r="H47"/>
  <c r="BE47"/>
  <c r="BF47"/>
  <c r="AI48"/>
  <c r="AI49"/>
  <c r="BL48"/>
  <c r="BL49"/>
  <c r="H32"/>
  <c r="O32"/>
  <c r="R32" s="1"/>
  <c r="BE32"/>
  <c r="BF32" s="1"/>
  <c r="BE62"/>
  <c r="BF62" s="1"/>
  <c r="H62"/>
  <c r="O62" s="1"/>
  <c r="R62"/>
  <c r="BE65"/>
  <c r="BF65" s="1"/>
  <c r="H65"/>
  <c r="BL66"/>
  <c r="AI66"/>
  <c r="BJ49"/>
  <c r="AI81"/>
  <c r="M81"/>
  <c r="BH85"/>
  <c r="BJ55"/>
  <c r="BM62"/>
  <c r="BF16"/>
  <c r="BM63"/>
  <c r="BJ82"/>
  <c r="BL24"/>
  <c r="BL25"/>
  <c r="AI24"/>
  <c r="H23"/>
  <c r="O23"/>
  <c r="R23" s="1"/>
  <c r="AI25"/>
  <c r="H25" s="1"/>
  <c r="O25" s="1"/>
  <c r="R25" s="1"/>
  <c r="BE23"/>
  <c r="BE85"/>
  <c r="BF85" s="1"/>
  <c r="E85"/>
  <c r="BF23"/>
  <c r="BE24"/>
  <c r="H24"/>
  <c r="O24" s="1"/>
  <c r="R24"/>
  <c r="BM81"/>
  <c r="BE25"/>
  <c r="BM24"/>
  <c r="H66"/>
  <c r="H48"/>
  <c r="O48"/>
  <c r="R48" s="1"/>
  <c r="BE48"/>
  <c r="BF48" s="1"/>
  <c r="BE63"/>
  <c r="BF63" s="1"/>
  <c r="H63"/>
  <c r="AI67"/>
  <c r="H67" s="1"/>
  <c r="O67"/>
  <c r="R67" s="1"/>
  <c r="BF25"/>
  <c r="BF24"/>
  <c r="K73" i="40"/>
  <c r="L73"/>
  <c r="R73"/>
  <c r="BN73"/>
  <c r="BQ22"/>
  <c r="BL73"/>
  <c r="BR26"/>
  <c r="BL52" i="45"/>
  <c r="S50"/>
  <c r="BQ16"/>
  <c r="S16"/>
  <c r="H35"/>
  <c r="R26"/>
  <c r="BT27"/>
  <c r="BR47"/>
  <c r="J24" i="22"/>
  <c r="Q24" s="1"/>
  <c r="T24" s="1"/>
  <c r="BH24"/>
  <c r="BI24" s="1"/>
  <c r="AL72"/>
  <c r="J72"/>
  <c r="J71"/>
  <c r="BO71"/>
  <c r="BP71" s="1"/>
  <c r="BP17"/>
  <c r="BH176"/>
  <c r="BI176"/>
  <c r="BK144"/>
  <c r="AL78"/>
  <c r="BH78" s="1"/>
  <c r="BI78" s="1"/>
  <c r="BO77"/>
  <c r="BO78"/>
  <c r="J77"/>
  <c r="H162"/>
  <c r="AF42"/>
  <c r="AF18"/>
  <c r="O95"/>
  <c r="Q95"/>
  <c r="T95" s="1"/>
  <c r="J78"/>
  <c r="BT26" i="26"/>
  <c r="BS26"/>
  <c r="S11"/>
  <c r="V11" s="1"/>
  <c r="M26"/>
  <c r="BT20"/>
  <c r="BT28"/>
  <c r="BU19"/>
  <c r="BU20"/>
  <c r="BU28" s="1"/>
  <c r="BU18"/>
  <c r="BU27" s="1"/>
  <c r="N27"/>
  <c r="N26"/>
  <c r="S17"/>
  <c r="V17" s="1"/>
  <c r="L27"/>
  <c r="BT18"/>
  <c r="BT27"/>
  <c r="H72" i="40"/>
  <c r="J108" i="22"/>
  <c r="BH108"/>
  <c r="BI108"/>
  <c r="J59"/>
  <c r="Q59"/>
  <c r="T59" s="1"/>
  <c r="BO59"/>
  <c r="BP59" s="1"/>
  <c r="BH59"/>
  <c r="BI59"/>
  <c r="AL60"/>
  <c r="BJ78"/>
  <c r="BP102"/>
  <c r="Q172"/>
  <c r="T172" s="1"/>
  <c r="Q64"/>
  <c r="T64" s="1"/>
  <c r="Q112"/>
  <c r="T112" s="1"/>
  <c r="AK18"/>
  <c r="P18" s="1"/>
  <c r="BO11"/>
  <c r="BI157"/>
  <c r="BP161"/>
  <c r="BJ126"/>
  <c r="Q22"/>
  <c r="T22" s="1"/>
  <c r="Q148"/>
  <c r="T148" s="1"/>
  <c r="X16"/>
  <c r="BM143"/>
  <c r="BI23"/>
  <c r="AD16"/>
  <c r="V84"/>
  <c r="Y16"/>
  <c r="J19" i="40"/>
  <c r="BP19"/>
  <c r="BQ19"/>
  <c r="BH19"/>
  <c r="BK19"/>
  <c r="L74"/>
  <c r="BQ30"/>
  <c r="BP32"/>
  <c r="Q19"/>
  <c r="T19" s="1"/>
  <c r="I38"/>
  <c r="M74"/>
  <c r="BQ69"/>
  <c r="BQ77" s="1"/>
  <c r="L72"/>
  <c r="R38"/>
  <c r="K74"/>
  <c r="N71"/>
  <c r="S72"/>
  <c r="H71"/>
  <c r="BP45"/>
  <c r="BP46" s="1"/>
  <c r="BP75" s="1"/>
  <c r="Q12"/>
  <c r="T12"/>
  <c r="Q67"/>
  <c r="T67"/>
  <c r="BF76"/>
  <c r="O76"/>
  <c r="S76"/>
  <c r="BH30"/>
  <c r="BK30"/>
  <c r="BH31"/>
  <c r="BK31"/>
  <c r="I14"/>
  <c r="BQ18"/>
  <c r="Q69"/>
  <c r="T69" s="1"/>
  <c r="R72"/>
  <c r="I24"/>
  <c r="Q24"/>
  <c r="T24" s="1"/>
  <c r="T56"/>
  <c r="I28"/>
  <c r="Q28"/>
  <c r="T28" s="1"/>
  <c r="AC46"/>
  <c r="R46" s="1"/>
  <c r="R32"/>
  <c r="O71"/>
  <c r="M73"/>
  <c r="BN32"/>
  <c r="BN46" s="1"/>
  <c r="BN75" s="1"/>
  <c r="I10"/>
  <c r="Q10"/>
  <c r="T10" s="1"/>
  <c r="L77"/>
  <c r="Q33"/>
  <c r="T33"/>
  <c r="I34"/>
  <c r="Q34"/>
  <c r="T34" s="1"/>
  <c r="BQ17"/>
  <c r="BH29"/>
  <c r="AC75"/>
  <c r="R75" s="1"/>
  <c r="BH16"/>
  <c r="BP16"/>
  <c r="BP20" s="1"/>
  <c r="J16"/>
  <c r="Q16" s="1"/>
  <c r="T16" s="1"/>
  <c r="BM21"/>
  <c r="G21"/>
  <c r="W26"/>
  <c r="W73"/>
  <c r="BH21"/>
  <c r="BK21"/>
  <c r="L75"/>
  <c r="K71"/>
  <c r="R74"/>
  <c r="Q38"/>
  <c r="T38" s="1"/>
  <c r="P75"/>
  <c r="BP61"/>
  <c r="BP76"/>
  <c r="H21"/>
  <c r="Y26"/>
  <c r="BM25"/>
  <c r="BQ25" s="1"/>
  <c r="G25"/>
  <c r="I25" s="1"/>
  <c r="Q25"/>
  <c r="T25" s="1"/>
  <c r="BH25"/>
  <c r="BK25" s="1"/>
  <c r="Q14"/>
  <c r="T14" s="1"/>
  <c r="K77"/>
  <c r="BH53"/>
  <c r="BQ52"/>
  <c r="BU26"/>
  <c r="BK14"/>
  <c r="AL75"/>
  <c r="J75"/>
  <c r="BQ9"/>
  <c r="BO60" i="22"/>
  <c r="W30"/>
  <c r="BH30"/>
  <c r="BK29"/>
  <c r="G29"/>
  <c r="I29" s="1"/>
  <c r="Q29" s="1"/>
  <c r="T29" s="1"/>
  <c r="BH29"/>
  <c r="BI29" s="1"/>
  <c r="Y84"/>
  <c r="H84" s="1"/>
  <c r="BH83"/>
  <c r="BI83"/>
  <c r="J60"/>
  <c r="BK29" i="40"/>
  <c r="BH74"/>
  <c r="BK74"/>
  <c r="BK53"/>
  <c r="BK16"/>
  <c r="Y73"/>
  <c r="H73" s="1"/>
  <c r="H26"/>
  <c r="G26"/>
  <c r="I26"/>
  <c r="Q26" s="1"/>
  <c r="T26" s="1"/>
  <c r="BQ21"/>
  <c r="BM26"/>
  <c r="BS26" s="1"/>
  <c r="BQ16"/>
  <c r="BK30" i="22"/>
  <c r="Y18"/>
  <c r="G30"/>
  <c r="I30"/>
  <c r="Q30" s="1"/>
  <c r="T30" s="1"/>
  <c r="BP72" i="40"/>
  <c r="BV20"/>
  <c r="BI13" i="24"/>
  <c r="BF11"/>
  <c r="BI11"/>
  <c r="S14" i="48"/>
  <c r="V14"/>
  <c r="BP143" i="22"/>
  <c r="BM144"/>
  <c r="BP60"/>
  <c r="H83"/>
  <c r="I83"/>
  <c r="Q83" s="1"/>
  <c r="T83" s="1"/>
  <c r="BK83"/>
  <c r="J120"/>
  <c r="BH120"/>
  <c r="BI120"/>
  <c r="T141"/>
  <c r="BP119"/>
  <c r="H36"/>
  <c r="BL54"/>
  <c r="BP80"/>
  <c r="AD11"/>
  <c r="BP15"/>
  <c r="BF18"/>
  <c r="O18"/>
  <c r="Q96"/>
  <c r="T96"/>
  <c r="Q111"/>
  <c r="T111"/>
  <c r="BP142"/>
  <c r="BP144"/>
  <c r="P39"/>
  <c r="Q39"/>
  <c r="T39" s="1"/>
  <c r="J19"/>
  <c r="Q19" s="1"/>
  <c r="T19"/>
  <c r="P10" i="47"/>
  <c r="S10"/>
  <c r="W16" i="45"/>
  <c r="F16"/>
  <c r="F14"/>
  <c r="I24"/>
  <c r="AL26"/>
  <c r="I26"/>
  <c r="BI24"/>
  <c r="BL24"/>
  <c r="BN15" i="31"/>
  <c r="I17"/>
  <c r="BM9"/>
  <c r="BQ12" i="47"/>
  <c r="BQ9" s="1"/>
  <c r="P14"/>
  <c r="S14" s="1"/>
  <c r="J23" i="26"/>
  <c r="BU22"/>
  <c r="BU23"/>
  <c r="BU26" s="1"/>
  <c r="H28"/>
  <c r="J28" s="1"/>
  <c r="S28" s="1"/>
  <c r="V28" s="1"/>
  <c r="V19"/>
  <c r="T28"/>
  <c r="T20"/>
  <c r="J27"/>
  <c r="H18"/>
  <c r="J18"/>
  <c r="AI73" i="27"/>
  <c r="BE73" s="1"/>
  <c r="BH58"/>
  <c r="BH13"/>
  <c r="BH91" s="1"/>
  <c r="E58"/>
  <c r="G58" s="1"/>
  <c r="O58"/>
  <c r="R58" s="1"/>
  <c r="BE58"/>
  <c r="BF58" s="1"/>
  <c r="U13"/>
  <c r="E13"/>
  <c r="G13" s="1"/>
  <c r="BG13"/>
  <c r="BG91"/>
  <c r="O10" i="46"/>
  <c r="R10" s="1"/>
  <c r="G12" i="32"/>
  <c r="O12" s="1"/>
  <c r="R12"/>
  <c r="G13"/>
  <c r="O13" s="1"/>
  <c r="R13" s="1"/>
  <c r="G10" i="38"/>
  <c r="O10"/>
  <c r="R10" s="1"/>
  <c r="G11" i="32"/>
  <c r="O11" s="1"/>
  <c r="R11"/>
  <c r="BM155" i="22"/>
  <c r="BM156" s="1"/>
  <c r="O155"/>
  <c r="BH79"/>
  <c r="BI79" s="1"/>
  <c r="G79"/>
  <c r="I79"/>
  <c r="Q79" s="1"/>
  <c r="T79" s="1"/>
  <c r="W84"/>
  <c r="G84"/>
  <c r="I84" s="1"/>
  <c r="Q84"/>
  <c r="T84" s="1"/>
  <c r="BK79"/>
  <c r="BK84" s="1"/>
  <c r="BF13"/>
  <c r="O13"/>
  <c r="BF77"/>
  <c r="O14"/>
  <c r="O29"/>
  <c r="BM30"/>
  <c r="BP29"/>
  <c r="BP30"/>
  <c r="T176"/>
  <c r="P12" i="47"/>
  <c r="S12"/>
  <c r="P15"/>
  <c r="S15"/>
  <c r="I9"/>
  <c r="P9"/>
  <c r="S9" s="1"/>
  <c r="BF20" i="31"/>
  <c r="BG20" s="1"/>
  <c r="I20"/>
  <c r="BN20"/>
  <c r="T48" i="45"/>
  <c r="H73" i="27"/>
  <c r="O73" s="1"/>
  <c r="R73" s="1"/>
  <c r="BF73"/>
  <c r="BI10" i="32"/>
  <c r="BP79" i="22"/>
  <c r="BM77"/>
  <c r="BH77"/>
  <c r="BI77"/>
  <c r="BF16"/>
  <c r="O16"/>
  <c r="O77"/>
  <c r="Q77"/>
  <c r="T77" s="1"/>
  <c r="BM78"/>
  <c r="BQ20" i="49"/>
  <c r="BQ28" s="1"/>
  <c r="F20"/>
  <c r="H20" s="1"/>
  <c r="Q20"/>
  <c r="T20" s="1"/>
  <c r="Q40"/>
  <c r="T40" s="1"/>
  <c r="BT40"/>
  <c r="M9" i="31"/>
  <c r="BN34"/>
  <c r="BF34"/>
  <c r="BG34" s="1"/>
  <c r="BI9"/>
  <c r="BO15"/>
  <c r="BI24"/>
  <c r="H24"/>
  <c r="H19"/>
  <c r="BF19"/>
  <c r="BG19"/>
  <c r="H17"/>
  <c r="P20"/>
  <c r="S20" s="1"/>
  <c r="P18"/>
  <c r="S18" s="1"/>
  <c r="AK12"/>
  <c r="I12" s="1"/>
  <c r="P12" s="1"/>
  <c r="S12" s="1"/>
  <c r="O9"/>
  <c r="P35"/>
  <c r="S35" s="1"/>
  <c r="P11"/>
  <c r="S11" s="1"/>
  <c r="H14"/>
  <c r="P14" s="1"/>
  <c r="N24"/>
  <c r="AK16"/>
  <c r="I16" s="1"/>
  <c r="P16" s="1"/>
  <c r="S16" s="1"/>
  <c r="BN12"/>
  <c r="P17"/>
  <c r="S17"/>
  <c r="BF16"/>
  <c r="BG16" s="1"/>
  <c r="BN16"/>
  <c r="BO16"/>
  <c r="BO17"/>
  <c r="BF14"/>
  <c r="BG14" s="1"/>
  <c r="BN11"/>
  <c r="BO11" s="1"/>
  <c r="BF18"/>
  <c r="BG18" s="1"/>
  <c r="BF13"/>
  <c r="BG13" s="1"/>
  <c r="BF12"/>
  <c r="BG12" s="1"/>
  <c r="P36"/>
  <c r="S36" s="1"/>
  <c r="R24"/>
  <c r="I19"/>
  <c r="P19"/>
  <c r="S19" s="1"/>
  <c r="BN13"/>
  <c r="BO13" s="1"/>
  <c r="BJ12"/>
  <c r="BO12" s="1"/>
  <c r="BJ14"/>
  <c r="BO14" s="1"/>
  <c r="AI9"/>
  <c r="BO35"/>
  <c r="BO34"/>
  <c r="X9"/>
  <c r="G9"/>
  <c r="AE9"/>
  <c r="AG9"/>
  <c r="AC9"/>
  <c r="AO9"/>
  <c r="J9" s="1"/>
  <c r="BJ24"/>
  <c r="AF9"/>
  <c r="AK10"/>
  <c r="I10" s="1"/>
  <c r="P10" s="1"/>
  <c r="S10" s="1"/>
  <c r="BO20"/>
  <c r="P29"/>
  <c r="S29" s="1"/>
  <c r="BO33"/>
  <c r="S34"/>
  <c r="P33"/>
  <c r="S33" s="1"/>
  <c r="BO27"/>
  <c r="P27"/>
  <c r="S27"/>
  <c r="P30"/>
  <c r="S30"/>
  <c r="BO26"/>
  <c r="AH24"/>
  <c r="BF25"/>
  <c r="BG25"/>
  <c r="I25"/>
  <c r="P25"/>
  <c r="S25" s="1"/>
  <c r="AK24"/>
  <c r="I24" s="1"/>
  <c r="P24" s="1"/>
  <c r="S24" s="1"/>
  <c r="BN25"/>
  <c r="BO25" s="1"/>
  <c r="BO24" s="1"/>
  <c r="AK9"/>
  <c r="BN2" s="1"/>
  <c r="BF10"/>
  <c r="BG10" s="1"/>
  <c r="BF24"/>
  <c r="BG24"/>
  <c r="BF9"/>
  <c r="BG9" s="1"/>
  <c r="BI161" i="22"/>
  <c r="BL156"/>
  <c r="BL18" s="1"/>
  <c r="BL4" s="1"/>
  <c r="BO72"/>
  <c r="BP70"/>
  <c r="BP68"/>
  <c r="H14"/>
  <c r="BP62"/>
  <c r="BJ12"/>
  <c r="BJ66"/>
  <c r="G13"/>
  <c r="I13"/>
  <c r="Q13" s="1"/>
  <c r="T13" s="1"/>
  <c r="I53"/>
  <c r="Q53"/>
  <c r="T53" s="1"/>
  <c r="BP51"/>
  <c r="G50"/>
  <c r="I50" s="1"/>
  <c r="Q50" s="1"/>
  <c r="T50" s="1"/>
  <c r="G12"/>
  <c r="I108"/>
  <c r="Q108" s="1"/>
  <c r="T108" s="1"/>
  <c r="BP108"/>
  <c r="BK108"/>
  <c r="BQ13" i="35"/>
  <c r="BQ17"/>
  <c r="AM17"/>
  <c r="Z17"/>
  <c r="BI15"/>
  <c r="BL15"/>
  <c r="W17"/>
  <c r="I13"/>
  <c r="Q13" s="1"/>
  <c r="BO12" i="24"/>
  <c r="G12"/>
  <c r="O12" s="1"/>
  <c r="R12" s="1"/>
  <c r="BG10" i="42"/>
  <c r="BJ10"/>
  <c r="BR10"/>
  <c r="BS10"/>
  <c r="H10"/>
  <c r="P10"/>
  <c r="S10" s="1"/>
  <c r="H27" i="45"/>
  <c r="BN11" i="24"/>
  <c r="BO14"/>
  <c r="BO11" s="1"/>
  <c r="O11"/>
  <c r="R11" s="1"/>
  <c r="BI14" i="45"/>
  <c r="BL14" s="1"/>
  <c r="Y16"/>
  <c r="G16" s="1"/>
  <c r="H16" s="1"/>
  <c r="Q16" s="1"/>
  <c r="T16" s="1"/>
  <c r="G14"/>
  <c r="H14" s="1"/>
  <c r="Q14" s="1"/>
  <c r="T14" s="1"/>
  <c r="BO14"/>
  <c r="BT14" s="1"/>
  <c r="H12"/>
  <c r="Q12" s="1"/>
  <c r="T12" s="1"/>
  <c r="H10"/>
  <c r="Q10"/>
  <c r="T10" s="1"/>
  <c r="BO10"/>
  <c r="BO16" s="1"/>
  <c r="BI10"/>
  <c r="BL10"/>
  <c r="W36" i="22"/>
  <c r="V72" i="40"/>
  <c r="BI16" i="45"/>
  <c r="BL16" s="1"/>
  <c r="BT31"/>
  <c r="BS47"/>
  <c r="BI35"/>
  <c r="BL35" s="1"/>
  <c r="AL47"/>
  <c r="I47" s="1"/>
  <c r="Q47" s="1"/>
  <c r="T47" s="1"/>
  <c r="I35"/>
  <c r="Q35" s="1"/>
  <c r="T35" s="1"/>
  <c r="W47"/>
  <c r="F47"/>
  <c r="H47" s="1"/>
  <c r="BI29"/>
  <c r="F29"/>
  <c r="H29"/>
  <c r="Q29" s="1"/>
  <c r="T29" s="1"/>
  <c r="BO29"/>
  <c r="BT10"/>
  <c r="BT16" s="1"/>
  <c r="BS16"/>
  <c r="Q57"/>
  <c r="T57" s="1"/>
  <c r="Q37"/>
  <c r="T37" s="1"/>
  <c r="BR18"/>
  <c r="M18"/>
  <c r="Q50"/>
  <c r="T50" s="1"/>
  <c r="Q24"/>
  <c r="T24" s="1"/>
  <c r="H22"/>
  <c r="Q22" s="1"/>
  <c r="T22" s="1"/>
  <c r="BQ26" i="40"/>
  <c r="G73"/>
  <c r="I73" s="1"/>
  <c r="Q73" s="1"/>
  <c r="T73" s="1"/>
  <c r="BW26"/>
  <c r="BQ73"/>
  <c r="BM73"/>
  <c r="BH26"/>
  <c r="BH32"/>
  <c r="BQ32"/>
  <c r="BH46"/>
  <c r="BK46" s="1"/>
  <c r="BK32"/>
  <c r="BW37"/>
  <c r="BL46"/>
  <c r="BL75" s="1"/>
  <c r="G77"/>
  <c r="Q53"/>
  <c r="T53" s="1"/>
  <c r="BQ53"/>
  <c r="BQ74" s="1"/>
  <c r="V74"/>
  <c r="G74" s="1"/>
  <c r="I74" s="1"/>
  <c r="BH20"/>
  <c r="BO20"/>
  <c r="BO72" s="1"/>
  <c r="BU20"/>
  <c r="BN20"/>
  <c r="BN72"/>
  <c r="BQ20"/>
  <c r="BQ72"/>
  <c r="BM20"/>
  <c r="BL20"/>
  <c r="BL72" s="1"/>
  <c r="W72"/>
  <c r="G72"/>
  <c r="I72" s="1"/>
  <c r="Q72" s="1"/>
  <c r="T72" s="1"/>
  <c r="G20"/>
  <c r="I20" s="1"/>
  <c r="Q20" s="1"/>
  <c r="T20" s="1"/>
  <c r="BK20"/>
  <c r="BH72"/>
  <c r="BK72"/>
  <c r="BM72"/>
  <c r="BH72" i="22"/>
  <c r="BI72" s="1"/>
  <c r="Q71"/>
  <c r="T71"/>
  <c r="Q35"/>
  <c r="T35"/>
  <c r="O36"/>
  <c r="H16"/>
  <c r="I162"/>
  <c r="Q162"/>
  <c r="T162" s="1"/>
  <c r="BP162"/>
  <c r="H18"/>
  <c r="BP132"/>
  <c r="BK132"/>
  <c r="BP120"/>
  <c r="BP81"/>
  <c r="BP13" s="1"/>
  <c r="G78"/>
  <c r="I78"/>
  <c r="Q78" s="1"/>
  <c r="T78" s="1"/>
  <c r="BP48"/>
  <c r="BH36"/>
  <c r="BI36" s="1"/>
  <c r="G36"/>
  <c r="I36" s="1"/>
  <c r="Q36" s="1"/>
  <c r="T36" s="1"/>
  <c r="BP138"/>
  <c r="BK78"/>
  <c r="Q69"/>
  <c r="T69"/>
  <c r="BH84"/>
  <c r="BI84"/>
  <c r="BH13"/>
  <c r="BI13"/>
  <c r="BI81"/>
  <c r="BH12"/>
  <c r="BI12"/>
  <c r="BJ30"/>
  <c r="BI30"/>
  <c r="BP24"/>
  <c r="BO47" i="45"/>
  <c r="BT29"/>
  <c r="BT47"/>
  <c r="BL29"/>
  <c r="BH73" i="40"/>
  <c r="BK73" s="1"/>
  <c r="BK26"/>
  <c r="BH75"/>
  <c r="BK75"/>
  <c r="BS20"/>
  <c r="BW20"/>
  <c r="BT20"/>
  <c r="R76"/>
  <c r="BH62"/>
  <c r="BK62" s="1"/>
  <c r="G62"/>
  <c r="I62" s="1"/>
  <c r="Q62" s="1"/>
  <c r="T62" s="1"/>
  <c r="BL62"/>
  <c r="BQ62" s="1"/>
  <c r="V63"/>
  <c r="V64" s="1"/>
  <c r="BK125" i="22"/>
  <c r="BH125"/>
  <c r="BI125"/>
  <c r="W126"/>
  <c r="G125"/>
  <c r="I125" s="1"/>
  <c r="Q125" s="1"/>
  <c r="T125" s="1"/>
  <c r="J11"/>
  <c r="I12"/>
  <c r="BP152"/>
  <c r="BP72"/>
  <c r="BH65"/>
  <c r="BO65"/>
  <c r="AL66"/>
  <c r="J65"/>
  <c r="Q65"/>
  <c r="T65" s="1"/>
  <c r="J66"/>
  <c r="Q66" s="1"/>
  <c r="T66" s="1"/>
  <c r="Q12"/>
  <c r="T12"/>
  <c r="G14"/>
  <c r="I14"/>
  <c r="Q14" s="1"/>
  <c r="T14" s="1"/>
  <c r="T52"/>
  <c r="BP52"/>
  <c r="BP14" s="1"/>
  <c r="BH14"/>
  <c r="BI14" s="1"/>
  <c r="BI52"/>
  <c r="BP53"/>
  <c r="BO54"/>
  <c r="T51"/>
  <c r="T49"/>
  <c r="BP49"/>
  <c r="BJ54"/>
  <c r="BJ18"/>
  <c r="BL14"/>
  <c r="BN15" i="35"/>
  <c r="BR15" s="1"/>
  <c r="BL11"/>
  <c r="BI13"/>
  <c r="BL13"/>
  <c r="BM13"/>
  <c r="BN11"/>
  <c r="BN13" s="1"/>
  <c r="H12"/>
  <c r="I12"/>
  <c r="Q12" s="1"/>
  <c r="T12" s="1"/>
  <c r="G10" i="34"/>
  <c r="P10"/>
  <c r="S10" s="1"/>
  <c r="BL63" i="40"/>
  <c r="BQ63" s="1"/>
  <c r="G63"/>
  <c r="I63" s="1"/>
  <c r="Q63" s="1"/>
  <c r="T63" s="1"/>
  <c r="BH63"/>
  <c r="BK63" s="1"/>
  <c r="BH126" i="22"/>
  <c r="BI126"/>
  <c r="G126"/>
  <c r="I126"/>
  <c r="Q126" s="1"/>
  <c r="T126" s="1"/>
  <c r="BK126"/>
  <c r="BP125"/>
  <c r="BP126" s="1"/>
  <c r="BH66"/>
  <c r="BI66" s="1"/>
  <c r="BI65"/>
  <c r="BO66"/>
  <c r="BJ4"/>
  <c r="BN17" i="35"/>
  <c r="BR11"/>
  <c r="BR17" s="1"/>
  <c r="BR13"/>
  <c r="L16" i="22" l="1"/>
  <c r="BH64" i="40"/>
  <c r="BK64" s="1"/>
  <c r="BL64"/>
  <c r="BQ64" s="1"/>
  <c r="G64"/>
  <c r="I64" s="1"/>
  <c r="Q64" s="1"/>
  <c r="T64" s="1"/>
  <c r="V65"/>
  <c r="O13" i="31"/>
  <c r="P13" s="1"/>
  <c r="S13" s="1"/>
  <c r="S14"/>
  <c r="BP77" i="22"/>
  <c r="BP78" s="1"/>
  <c r="BM83" i="27"/>
  <c r="BM85" s="1"/>
  <c r="BH11"/>
  <c r="BK27" i="26"/>
  <c r="BN27" s="1"/>
  <c r="BN18"/>
  <c r="BC66" i="27"/>
  <c r="BJ65"/>
  <c r="BM41"/>
  <c r="BJ43"/>
  <c r="BM14"/>
  <c r="BJ16"/>
  <c r="BM30"/>
  <c r="BM31" s="1"/>
  <c r="BE67"/>
  <c r="BF67" s="1"/>
  <c r="BM25"/>
  <c r="P15" i="31"/>
  <c r="S15" s="1"/>
  <c r="AI64" i="27"/>
  <c r="R16"/>
  <c r="BI13"/>
  <c r="BI91" s="1"/>
  <c r="O47"/>
  <c r="R47" s="1"/>
  <c r="S18" i="26"/>
  <c r="Q49" i="49"/>
  <c r="T49" s="1"/>
  <c r="BE81" i="27"/>
  <c r="BF81" s="1"/>
  <c r="H81"/>
  <c r="O81" s="1"/>
  <c r="R81" s="1"/>
  <c r="BE49"/>
  <c r="BF49" s="1"/>
  <c r="H49"/>
  <c r="O49" s="1"/>
  <c r="R49" s="1"/>
  <c r="BL33"/>
  <c r="AI33"/>
  <c r="AI80"/>
  <c r="BL80"/>
  <c r="BP65" i="22"/>
  <c r="BR20" i="40"/>
  <c r="BX20" s="1"/>
  <c r="BN24" i="31"/>
  <c r="BJ9"/>
  <c r="BN10"/>
  <c r="I9"/>
  <c r="I21" i="40"/>
  <c r="Q21" s="1"/>
  <c r="T21" s="1"/>
  <c r="BM64" i="27"/>
  <c r="BE66"/>
  <c r="BF66" s="1"/>
  <c r="BL64"/>
  <c r="O63"/>
  <c r="R63" s="1"/>
  <c r="O65"/>
  <c r="R65" s="1"/>
  <c r="O46"/>
  <c r="R46" s="1"/>
  <c r="V20" i="26"/>
  <c r="S23"/>
  <c r="V23" s="1"/>
  <c r="BJ28" i="27"/>
  <c r="BL42"/>
  <c r="BL43" s="1"/>
  <c r="AI42"/>
  <c r="M60"/>
  <c r="BJ60"/>
  <c r="M56"/>
  <c r="O56" s="1"/>
  <c r="R56" s="1"/>
  <c r="BJ56"/>
  <c r="BC57"/>
  <c r="AF27"/>
  <c r="AI26"/>
  <c r="BL26"/>
  <c r="BL17"/>
  <c r="AF18"/>
  <c r="AI17"/>
  <c r="BK13" i="22"/>
  <c r="O69" i="27"/>
  <c r="R69" s="1"/>
  <c r="BO49" i="49"/>
  <c r="Q169" i="22"/>
  <c r="T169" s="1"/>
  <c r="BM36" i="27"/>
  <c r="BM37" s="1"/>
  <c r="BJ37"/>
  <c r="BM51"/>
  <c r="BM52" s="1"/>
  <c r="BL52"/>
  <c r="BE36"/>
  <c r="BF36" s="1"/>
  <c r="H36"/>
  <c r="AF60"/>
  <c r="AI59"/>
  <c r="BL59"/>
  <c r="AF54"/>
  <c r="BL53"/>
  <c r="AI53"/>
  <c r="AF39"/>
  <c r="AI38"/>
  <c r="BL38"/>
  <c r="AI20"/>
  <c r="BL20"/>
  <c r="AF21"/>
  <c r="BI31" i="45"/>
  <c r="K12" i="26"/>
  <c r="BS26" i="45"/>
  <c r="BL20" i="49"/>
  <c r="BH48" i="22"/>
  <c r="BK162"/>
  <c r="BH114"/>
  <c r="BI114" s="1"/>
  <c r="BP110"/>
  <c r="BP114" s="1"/>
  <c r="I120"/>
  <c r="Q120" s="1"/>
  <c r="T120" s="1"/>
  <c r="O36" i="27"/>
  <c r="R36" s="1"/>
  <c r="O71"/>
  <c r="R71" s="1"/>
  <c r="BT28" i="49"/>
  <c r="K75" i="40"/>
  <c r="Q32"/>
  <c r="T32" s="1"/>
  <c r="Q127" i="22"/>
  <c r="T127" s="1"/>
  <c r="O76" i="27"/>
  <c r="R76" s="1"/>
  <c r="AI70"/>
  <c r="BL15"/>
  <c r="BL73"/>
  <c r="AI30"/>
  <c r="S14" i="26"/>
  <c r="V14" s="1"/>
  <c r="BE56" i="27"/>
  <c r="BF56" s="1"/>
  <c r="BM95" i="22"/>
  <c r="BF11" i="33"/>
  <c r="F28" i="49"/>
  <c r="H28" s="1"/>
  <c r="K46" i="40"/>
  <c r="BH69"/>
  <c r="BP26"/>
  <c r="BM83" i="22"/>
  <c r="M27" i="27"/>
  <c r="AI51"/>
  <c r="AI41"/>
  <c r="L26" i="26"/>
  <c r="S26" s="1"/>
  <c r="V26" s="1"/>
  <c r="Q168" i="22"/>
  <c r="T168" s="1"/>
  <c r="P13" i="47"/>
  <c r="S13" s="1"/>
  <c r="M27" i="26"/>
  <c r="S27" s="1"/>
  <c r="V27" s="1"/>
  <c r="S20" i="48"/>
  <c r="V20" s="1"/>
  <c r="I71" i="40"/>
  <c r="Q71" s="1"/>
  <c r="T71" s="1"/>
  <c r="Q45" i="45"/>
  <c r="T45" s="1"/>
  <c r="Q33"/>
  <c r="T33" s="1"/>
  <c r="BK28" i="49"/>
  <c r="E19" i="27"/>
  <c r="G19" s="1"/>
  <c r="BT37" i="49"/>
  <c r="BT49" s="1"/>
  <c r="S13" i="35"/>
  <c r="R13"/>
  <c r="T13" s="1"/>
  <c r="Q55" i="45"/>
  <c r="T55" s="1"/>
  <c r="P11" i="47"/>
  <c r="S11" s="1"/>
  <c r="S25" i="26"/>
  <c r="V25" s="1"/>
  <c r="J74" i="40"/>
  <c r="Q74" s="1"/>
  <c r="T74" s="1"/>
  <c r="Q23"/>
  <c r="T23" s="1"/>
  <c r="Q54" i="45"/>
  <c r="T54" s="1"/>
  <c r="Q43"/>
  <c r="T43" s="1"/>
  <c r="Q27"/>
  <c r="T27" s="1"/>
  <c r="Q17" i="49"/>
  <c r="T17" s="1"/>
  <c r="Q39" i="45"/>
  <c r="T39" s="1"/>
  <c r="Q26" i="49"/>
  <c r="T26" s="1"/>
  <c r="J32" i="22"/>
  <c r="P32"/>
  <c r="Q32" s="1"/>
  <c r="T32" s="1"/>
  <c r="AL149"/>
  <c r="P149"/>
  <c r="AK16"/>
  <c r="P16" s="1"/>
  <c r="W17" i="45"/>
  <c r="G17"/>
  <c r="G19" s="1"/>
  <c r="W20"/>
  <c r="G20"/>
  <c r="G13" i="40"/>
  <c r="I13" s="1"/>
  <c r="Q13" s="1"/>
  <c r="T13" s="1"/>
  <c r="BM13"/>
  <c r="W45"/>
  <c r="W46" s="1"/>
  <c r="BM44"/>
  <c r="V156" i="22"/>
  <c r="V16"/>
  <c r="BG15" i="47"/>
  <c r="BJ15" s="1"/>
  <c r="BG14"/>
  <c r="BJ14" s="1"/>
  <c r="BG13"/>
  <c r="BJ13" s="1"/>
  <c r="BG12"/>
  <c r="BM13" i="33"/>
  <c r="U18" i="26"/>
  <c r="M12"/>
  <c r="S12" s="1"/>
  <c r="V12" s="1"/>
  <c r="M85" i="27"/>
  <c r="BF11" i="32"/>
  <c r="BG11" s="1"/>
  <c r="K138" i="22"/>
  <c r="Q138" s="1"/>
  <c r="T138" s="1"/>
  <c r="K76" i="40"/>
  <c r="J28" i="49"/>
  <c r="Q28" s="1"/>
  <c r="W59" i="40"/>
  <c r="BM58"/>
  <c r="W54" i="22"/>
  <c r="BK50"/>
  <c r="J132"/>
  <c r="Q132" s="1"/>
  <c r="T132" s="1"/>
  <c r="F85" i="27"/>
  <c r="G85" s="1"/>
  <c r="BO19" i="31"/>
  <c r="BO18"/>
  <c r="K13" i="48"/>
  <c r="S13" s="1"/>
  <c r="V13" s="1"/>
  <c r="H77" i="40"/>
  <c r="I77" s="1"/>
  <c r="Q77" s="1"/>
  <c r="T77" s="1"/>
  <c r="M76"/>
  <c r="R28" i="49"/>
  <c r="G12" i="33"/>
  <c r="O12" s="1"/>
  <c r="R12" s="1"/>
  <c r="G72" i="22"/>
  <c r="I72" s="1"/>
  <c r="Q72" s="1"/>
  <c r="T72" s="1"/>
  <c r="BJ2" i="31"/>
  <c r="F9"/>
  <c r="H9" s="1"/>
  <c r="W60" i="22"/>
  <c r="T10" i="32"/>
  <c r="BF10" s="1"/>
  <c r="BH13"/>
  <c r="BI2" i="31"/>
  <c r="AI20" i="40"/>
  <c r="AI72" s="1"/>
  <c r="W151" i="22"/>
  <c r="O81"/>
  <c r="Q81" s="1"/>
  <c r="T81" s="1"/>
  <c r="J38"/>
  <c r="Q38" s="1"/>
  <c r="T38" s="1"/>
  <c r="AD33"/>
  <c r="W155" l="1"/>
  <c r="W156"/>
  <c r="W18" s="1"/>
  <c r="BH151"/>
  <c r="BK151"/>
  <c r="W11"/>
  <c r="G11" s="1"/>
  <c r="I11" s="1"/>
  <c r="Q11" s="1"/>
  <c r="T11" s="1"/>
  <c r="G151"/>
  <c r="I151" s="1"/>
  <c r="Q151" s="1"/>
  <c r="T151" s="1"/>
  <c r="P9" i="31"/>
  <c r="S9"/>
  <c r="G54" i="22"/>
  <c r="I54" s="1"/>
  <c r="Q54" s="1"/>
  <c r="T54" s="1"/>
  <c r="BH54"/>
  <c r="BI54" s="1"/>
  <c r="BM59" i="40"/>
  <c r="BQ59" s="1"/>
  <c r="G59"/>
  <c r="I59" s="1"/>
  <c r="Q59" s="1"/>
  <c r="T59" s="1"/>
  <c r="W61"/>
  <c r="BH59"/>
  <c r="BJ12" i="47"/>
  <c r="BG9"/>
  <c r="BJ9" s="1"/>
  <c r="BQ44" i="40"/>
  <c r="BQ45" s="1"/>
  <c r="BQ46" s="1"/>
  <c r="BQ75" s="1"/>
  <c r="BM45"/>
  <c r="BM46" s="1"/>
  <c r="BM75" s="1"/>
  <c r="BQ13"/>
  <c r="BQ14" s="1"/>
  <c r="BQ71" s="1"/>
  <c r="BM14"/>
  <c r="BM71" s="1"/>
  <c r="J149" i="22"/>
  <c r="BO149"/>
  <c r="AL150"/>
  <c r="BH149"/>
  <c r="AL16"/>
  <c r="J16" s="1"/>
  <c r="H41" i="27"/>
  <c r="O41" s="1"/>
  <c r="R41" s="1"/>
  <c r="BE41"/>
  <c r="BF41" s="1"/>
  <c r="AI43"/>
  <c r="BP73" i="40"/>
  <c r="BV26"/>
  <c r="AI31" i="27"/>
  <c r="H30"/>
  <c r="O30" s="1"/>
  <c r="R30" s="1"/>
  <c r="BE30"/>
  <c r="BF30" s="1"/>
  <c r="BL16"/>
  <c r="BM15"/>
  <c r="BI47" i="45"/>
  <c r="BL47" s="1"/>
  <c r="BL31"/>
  <c r="AI21" i="27"/>
  <c r="BL21"/>
  <c r="BM21" s="1"/>
  <c r="BE20"/>
  <c r="BF20" s="1"/>
  <c r="H20"/>
  <c r="O20" s="1"/>
  <c r="R20" s="1"/>
  <c r="BE38"/>
  <c r="BF38" s="1"/>
  <c r="H38"/>
  <c r="O38" s="1"/>
  <c r="R38" s="1"/>
  <c r="H53"/>
  <c r="O53" s="1"/>
  <c r="R53" s="1"/>
  <c r="BE53"/>
  <c r="BF53" s="1"/>
  <c r="AI54"/>
  <c r="BL54"/>
  <c r="BM54" s="1"/>
  <c r="H59"/>
  <c r="O59" s="1"/>
  <c r="R59" s="1"/>
  <c r="BE59"/>
  <c r="BF59" s="1"/>
  <c r="BL18"/>
  <c r="BM18" s="1"/>
  <c r="AI18"/>
  <c r="AF12"/>
  <c r="BM26"/>
  <c r="BL28"/>
  <c r="BL27"/>
  <c r="BM27" s="1"/>
  <c r="AI27"/>
  <c r="BM56"/>
  <c r="BJ11"/>
  <c r="BJ61"/>
  <c r="H42"/>
  <c r="O42" s="1"/>
  <c r="R42" s="1"/>
  <c r="BE42"/>
  <c r="BF42" s="1"/>
  <c r="BO10" i="31"/>
  <c r="BO9" s="1"/>
  <c r="BN9"/>
  <c r="BP66" i="22"/>
  <c r="BM80" i="27"/>
  <c r="BM82" s="1"/>
  <c r="BL82"/>
  <c r="BE33"/>
  <c r="BF33" s="1"/>
  <c r="H33"/>
  <c r="O33" s="1"/>
  <c r="R33" s="1"/>
  <c r="AI34"/>
  <c r="BM16"/>
  <c r="BJ66"/>
  <c r="BM66" s="1"/>
  <c r="M66"/>
  <c r="O66" s="1"/>
  <c r="R66" s="1"/>
  <c r="BH65" i="40"/>
  <c r="BK65" s="1"/>
  <c r="G65"/>
  <c r="I65" s="1"/>
  <c r="Q65" s="1"/>
  <c r="T65" s="1"/>
  <c r="BL65"/>
  <c r="BQ65" s="1"/>
  <c r="O85" i="27"/>
  <c r="R85" s="1"/>
  <c r="AD13" i="22"/>
  <c r="AD36"/>
  <c r="AD18" s="1"/>
  <c r="BH10" i="32"/>
  <c r="BL13"/>
  <c r="BL10" s="1"/>
  <c r="BH60" i="22"/>
  <c r="BI60" s="1"/>
  <c r="G60"/>
  <c r="I60" s="1"/>
  <c r="Q60" s="1"/>
  <c r="T60" s="1"/>
  <c r="BK12"/>
  <c r="BP50"/>
  <c r="BK54"/>
  <c r="BQ58" i="40"/>
  <c r="BQ61" s="1"/>
  <c r="BQ76" s="1"/>
  <c r="BM61"/>
  <c r="BM76" s="1"/>
  <c r="BN13" i="33"/>
  <c r="BN11" s="1"/>
  <c r="BM11"/>
  <c r="BH156" i="22"/>
  <c r="BI156" s="1"/>
  <c r="G156"/>
  <c r="I156" s="1"/>
  <c r="Q156" s="1"/>
  <c r="T156" s="1"/>
  <c r="V18"/>
  <c r="G46" i="40"/>
  <c r="I46" s="1"/>
  <c r="Q46" s="1"/>
  <c r="T46" s="1"/>
  <c r="W75"/>
  <c r="G75" s="1"/>
  <c r="I75" s="1"/>
  <c r="BO20" i="45"/>
  <c r="W26"/>
  <c r="F26" s="1"/>
  <c r="H26" s="1"/>
  <c r="Q26" s="1"/>
  <c r="T26" s="1"/>
  <c r="BI20"/>
  <c r="F20"/>
  <c r="H20" s="1"/>
  <c r="Q20" s="1"/>
  <c r="T20" s="1"/>
  <c r="F17"/>
  <c r="BI17"/>
  <c r="BO17"/>
  <c r="W19"/>
  <c r="H51" i="27"/>
  <c r="O51" s="1"/>
  <c r="R51" s="1"/>
  <c r="AI52"/>
  <c r="BE51"/>
  <c r="BF51" s="1"/>
  <c r="BM84" i="22"/>
  <c r="BP83"/>
  <c r="BP84" s="1"/>
  <c r="BK69" i="40"/>
  <c r="BH77"/>
  <c r="BK77" s="1"/>
  <c r="BP95" i="22"/>
  <c r="BP96" s="1"/>
  <c r="BM96"/>
  <c r="BE70" i="27"/>
  <c r="BF70" s="1"/>
  <c r="H70"/>
  <c r="O70" s="1"/>
  <c r="R70" s="1"/>
  <c r="BI48" i="22"/>
  <c r="BL22" i="27"/>
  <c r="BM20"/>
  <c r="BM22" s="1"/>
  <c r="BM38"/>
  <c r="BM40" s="1"/>
  <c r="BL39"/>
  <c r="BM39" s="1"/>
  <c r="AI39"/>
  <c r="BL55"/>
  <c r="BM53"/>
  <c r="BM55" s="1"/>
  <c r="BM59"/>
  <c r="BL61"/>
  <c r="BL60"/>
  <c r="BM60" s="1"/>
  <c r="AI60"/>
  <c r="H17"/>
  <c r="O17" s="1"/>
  <c r="R17" s="1"/>
  <c r="BE17"/>
  <c r="AI19"/>
  <c r="AI11"/>
  <c r="H11" s="1"/>
  <c r="O11" s="1"/>
  <c r="R11" s="1"/>
  <c r="BL19"/>
  <c r="BM17"/>
  <c r="BM19" s="1"/>
  <c r="BL11"/>
  <c r="BE26"/>
  <c r="BF26" s="1"/>
  <c r="H26"/>
  <c r="O26" s="1"/>
  <c r="R26" s="1"/>
  <c r="AI28"/>
  <c r="BE57"/>
  <c r="BF57" s="1"/>
  <c r="BJ57"/>
  <c r="BJ58" s="1"/>
  <c r="BJ13" s="1"/>
  <c r="BJ91" s="1"/>
  <c r="M57"/>
  <c r="O57" s="1"/>
  <c r="R57" s="1"/>
  <c r="BC12"/>
  <c r="M12" s="1"/>
  <c r="H80"/>
  <c r="O80" s="1"/>
  <c r="R80" s="1"/>
  <c r="BE80"/>
  <c r="BF80" s="1"/>
  <c r="AI82"/>
  <c r="BL34"/>
  <c r="BM33"/>
  <c r="BM34" s="1"/>
  <c r="BE64"/>
  <c r="BF64" s="1"/>
  <c r="H64"/>
  <c r="O64" s="1"/>
  <c r="R64" s="1"/>
  <c r="BJ67"/>
  <c r="BM65"/>
  <c r="BM67" s="1"/>
  <c r="T28" i="49"/>
  <c r="Q149" i="22"/>
  <c r="T149" s="1"/>
  <c r="G45" i="40"/>
  <c r="I45" s="1"/>
  <c r="Q45" s="1"/>
  <c r="T45" s="1"/>
  <c r="Q75"/>
  <c r="T75" s="1"/>
  <c r="BM42" i="27"/>
  <c r="BM43" s="1"/>
  <c r="V18" i="26"/>
  <c r="BM16" i="22"/>
  <c r="V66" i="40"/>
  <c r="BF17" i="27" l="1"/>
  <c r="BE11"/>
  <c r="BF11" s="1"/>
  <c r="H39"/>
  <c r="O39" s="1"/>
  <c r="R39" s="1"/>
  <c r="BE39"/>
  <c r="BF39" s="1"/>
  <c r="BT17" i="45"/>
  <c r="BT19" s="1"/>
  <c r="BO19"/>
  <c r="H17"/>
  <c r="F19"/>
  <c r="BL20"/>
  <c r="BI26"/>
  <c r="BL26" s="1"/>
  <c r="BO26"/>
  <c r="BT20"/>
  <c r="BT26" s="1"/>
  <c r="H34" i="27"/>
  <c r="O34" s="1"/>
  <c r="R34" s="1"/>
  <c r="BE34"/>
  <c r="BF34" s="1"/>
  <c r="BE27"/>
  <c r="BF27" s="1"/>
  <c r="H27"/>
  <c r="O27" s="1"/>
  <c r="R27" s="1"/>
  <c r="BE21"/>
  <c r="BF21" s="1"/>
  <c r="H21"/>
  <c r="O21" s="1"/>
  <c r="R21" s="1"/>
  <c r="H31"/>
  <c r="O31" s="1"/>
  <c r="R31" s="1"/>
  <c r="BE31"/>
  <c r="BF31" s="1"/>
  <c r="J150" i="22"/>
  <c r="Q150" s="1"/>
  <c r="T150" s="1"/>
  <c r="BH150"/>
  <c r="AL18"/>
  <c r="W76" i="40"/>
  <c r="G76" s="1"/>
  <c r="I76" s="1"/>
  <c r="Q76" s="1"/>
  <c r="T76" s="1"/>
  <c r="G61"/>
  <c r="I61" s="1"/>
  <c r="Q61" s="1"/>
  <c r="T61" s="1"/>
  <c r="BP151" i="22"/>
  <c r="BK11"/>
  <c r="BM11" i="27"/>
  <c r="BM57"/>
  <c r="BJ12"/>
  <c r="BE28"/>
  <c r="BF28" s="1"/>
  <c r="H28"/>
  <c r="O28" s="1"/>
  <c r="R28" s="1"/>
  <c r="H60"/>
  <c r="O60" s="1"/>
  <c r="R60" s="1"/>
  <c r="BE60"/>
  <c r="BF60" s="1"/>
  <c r="G66" i="40"/>
  <c r="I66" s="1"/>
  <c r="Q66" s="1"/>
  <c r="T66" s="1"/>
  <c r="BH66"/>
  <c r="BK66" s="1"/>
  <c r="BL66"/>
  <c r="BQ66" s="1"/>
  <c r="H82" i="27"/>
  <c r="O82" s="1"/>
  <c r="R82" s="1"/>
  <c r="BE82"/>
  <c r="BF82" s="1"/>
  <c r="BE19"/>
  <c r="H19"/>
  <c r="O19" s="1"/>
  <c r="R19" s="1"/>
  <c r="BE52"/>
  <c r="BF52" s="1"/>
  <c r="H52"/>
  <c r="O52" s="1"/>
  <c r="R52" s="1"/>
  <c r="BL17" i="45"/>
  <c r="BI19"/>
  <c r="BL19" s="1"/>
  <c r="BP12" i="22"/>
  <c r="BP54"/>
  <c r="H18" i="27"/>
  <c r="O18" s="1"/>
  <c r="R18" s="1"/>
  <c r="BE18"/>
  <c r="AI12"/>
  <c r="H12" s="1"/>
  <c r="H54"/>
  <c r="O54" s="1"/>
  <c r="R54" s="1"/>
  <c r="BE54"/>
  <c r="BF54" s="1"/>
  <c r="H43"/>
  <c r="O43" s="1"/>
  <c r="R43" s="1"/>
  <c r="BE43"/>
  <c r="BF43" s="1"/>
  <c r="BI149" i="22"/>
  <c r="BO150"/>
  <c r="BO16"/>
  <c r="BP149"/>
  <c r="BP150" s="1"/>
  <c r="BK59" i="40"/>
  <c r="BH61"/>
  <c r="BI151" i="22"/>
  <c r="BH11"/>
  <c r="BI11" s="1"/>
  <c r="G155"/>
  <c r="I155" s="1"/>
  <c r="Q155" s="1"/>
  <c r="T155" s="1"/>
  <c r="BK155"/>
  <c r="BK156" s="1"/>
  <c r="BK18" s="1"/>
  <c r="BH155"/>
  <c r="BI155" s="1"/>
  <c r="W16"/>
  <c r="G16" s="1"/>
  <c r="I16" s="1"/>
  <c r="Q16" s="1"/>
  <c r="T16" s="1"/>
  <c r="O12" i="27"/>
  <c r="R12" s="1"/>
  <c r="BM61"/>
  <c r="BL40"/>
  <c r="BL13" s="1"/>
  <c r="BL91" s="1"/>
  <c r="BM18" i="22"/>
  <c r="BM4" s="1"/>
  <c r="G18"/>
  <c r="I18" s="1"/>
  <c r="BM58" i="27"/>
  <c r="BM28"/>
  <c r="BM13" s="1"/>
  <c r="BM91" s="1"/>
  <c r="AI61"/>
  <c r="AI55"/>
  <c r="AI40"/>
  <c r="AI22"/>
  <c r="AI13" s="1"/>
  <c r="H13" s="1"/>
  <c r="O13" s="1"/>
  <c r="R13" s="1"/>
  <c r="BM12"/>
  <c r="BL12"/>
  <c r="BK4" i="22" l="1"/>
  <c r="BE40" i="27"/>
  <c r="BF40" s="1"/>
  <c r="H40"/>
  <c r="O40" s="1"/>
  <c r="R40" s="1"/>
  <c r="BE61"/>
  <c r="BF61" s="1"/>
  <c r="H61"/>
  <c r="O61" s="1"/>
  <c r="R61" s="1"/>
  <c r="BO18" i="22"/>
  <c r="BO4" s="1"/>
  <c r="J18"/>
  <c r="Q18" s="1"/>
  <c r="T18" s="1"/>
  <c r="H19" i="45"/>
  <c r="Q17"/>
  <c r="BH16" i="22"/>
  <c r="BI16" s="1"/>
  <c r="BE22" i="27"/>
  <c r="BF22" s="1"/>
  <c r="H22"/>
  <c r="O22" s="1"/>
  <c r="R22" s="1"/>
  <c r="BE55"/>
  <c r="BF55" s="1"/>
  <c r="H55"/>
  <c r="O55" s="1"/>
  <c r="R55" s="1"/>
  <c r="BP155" i="22"/>
  <c r="BP16" s="1"/>
  <c r="BK16"/>
  <c r="BK61" i="40"/>
  <c r="BH76"/>
  <c r="BK76" s="1"/>
  <c r="BF18" i="27"/>
  <c r="BE12"/>
  <c r="BF12" s="1"/>
  <c r="BF19"/>
  <c r="BE13"/>
  <c r="BF13" s="1"/>
  <c r="BP156" i="22"/>
  <c r="BP11"/>
  <c r="BI150"/>
  <c r="BH18"/>
  <c r="BI18" s="1"/>
  <c r="Q19" i="45" l="1"/>
  <c r="T19" s="1"/>
  <c r="T17"/>
  <c r="BP18" i="22"/>
  <c r="BP4" s="1"/>
</calcChain>
</file>

<file path=xl/sharedStrings.xml><?xml version="1.0" encoding="utf-8"?>
<sst xmlns="http://schemas.openxmlformats.org/spreadsheetml/2006/main" count="2936" uniqueCount="428">
  <si>
    <t>Наименование государственной услуги, государственного учреждения</t>
  </si>
  <si>
    <t>Количественный показатель государственной услуги</t>
  </si>
  <si>
    <t>Единица измерения</t>
  </si>
  <si>
    <t>Заработная плата основного персонала</t>
  </si>
  <si>
    <t>косгу</t>
  </si>
  <si>
    <t>Затраты на содержание недвижимого имущества</t>
  </si>
  <si>
    <t xml:space="preserve">Затраты на содержание движимого имущества </t>
  </si>
  <si>
    <t>аренда, тыс. рублей</t>
  </si>
  <si>
    <t>Расчетно-нормативные затраты на оказание государственной услуги</t>
  </si>
  <si>
    <t>отопление</t>
  </si>
  <si>
    <t>Общехозяйственные нужды</t>
  </si>
  <si>
    <t xml:space="preserve">Итого </t>
  </si>
  <si>
    <t>Заработная плата АУП</t>
  </si>
  <si>
    <t>Расходы на медикаменты</t>
  </si>
  <si>
    <t>ГСМ</t>
  </si>
  <si>
    <t>мягкий инвентарь</t>
  </si>
  <si>
    <t>Коммунальные услуги</t>
  </si>
  <si>
    <t>освещение</t>
  </si>
  <si>
    <t>вода</t>
  </si>
  <si>
    <t>Расчетно-нормативные затраты косвенных расходов</t>
  </si>
  <si>
    <t>Расходы на питание</t>
  </si>
  <si>
    <t>Расходы на мягкий инвентарь</t>
  </si>
  <si>
    <t>Всего расходов на оказание государственной услуги</t>
  </si>
  <si>
    <t>Итого расходов, не относимых к обеспечению государственной услуги</t>
  </si>
  <si>
    <t>Всего на содержание учреждения</t>
  </si>
  <si>
    <t>Норматив затрат на единицу государственной услуги в год</t>
  </si>
  <si>
    <t>в расчете на 1 ед. государственной услуги  в год, в руб.</t>
  </si>
  <si>
    <t>Приобретение расходных материалов</t>
  </si>
  <si>
    <t>Эксплуатация охранной сигнализации (КОСГУ   225)</t>
  </si>
  <si>
    <t>Эксплуатация пожарной сигнализации (КОСГУ   225)</t>
  </si>
  <si>
    <t>Другие расходы (расшифровать), тыс. рублей</t>
  </si>
  <si>
    <t xml:space="preserve">Уплата земельного, транспортного налогов, налога на имущество </t>
  </si>
  <si>
    <t>КОСГУ 225</t>
  </si>
  <si>
    <t>КОСГУ 226</t>
  </si>
  <si>
    <t>расшифровать</t>
  </si>
  <si>
    <t>Уплата налогов , 290, тыс. рублей</t>
  </si>
  <si>
    <t>моющие средства</t>
  </si>
  <si>
    <t>запчасти</t>
  </si>
  <si>
    <t>кацтовары</t>
  </si>
  <si>
    <t>бланки, журналы</t>
  </si>
  <si>
    <t>кухонный инвентарь</t>
  </si>
  <si>
    <t>хозтовары</t>
  </si>
  <si>
    <t>ИТОГО</t>
  </si>
  <si>
    <t>КОСГУ    221</t>
  </si>
  <si>
    <t>КОСГУ   222</t>
  </si>
  <si>
    <t>КОСГУ    226</t>
  </si>
  <si>
    <t>КОСГУ   212</t>
  </si>
  <si>
    <t>КОСГУ    290</t>
  </si>
  <si>
    <t>КОСГУ  225</t>
  </si>
  <si>
    <t>КОСГУ   226</t>
  </si>
  <si>
    <t>КОСГУ 340</t>
  </si>
  <si>
    <t>Затраты на содержание движимого имущества</t>
  </si>
  <si>
    <t>Уплата налогов</t>
  </si>
  <si>
    <t>2110+2130</t>
  </si>
  <si>
    <t>Всего на 1 ед. услуги, рублей</t>
  </si>
  <si>
    <t xml:space="preserve">Всего на     1 ед.  государственной услуги </t>
  </si>
  <si>
    <t>Нормативные затраты на содержание имущества, рублей</t>
  </si>
  <si>
    <t>Численность работников</t>
  </si>
  <si>
    <t>Средняя заработная плата в месяц</t>
  </si>
  <si>
    <t>Нормативные затраты на единицу государственной услуги</t>
  </si>
  <si>
    <t>Раздел 2.  Расходы, связанные с оказанем государственной услуги, рублей</t>
  </si>
  <si>
    <r>
      <t xml:space="preserve">Раздел 1 Нормативные затраты </t>
    </r>
    <r>
      <rPr>
        <b/>
        <sz val="11"/>
        <color indexed="10"/>
        <rFont val="Times New Roman"/>
        <family val="1"/>
        <charset val="204"/>
      </rPr>
      <t>на единицу</t>
    </r>
    <r>
      <rPr>
        <b/>
        <sz val="11"/>
        <rFont val="Times New Roman"/>
        <family val="1"/>
        <charset val="204"/>
      </rPr>
      <t xml:space="preserve"> государственной услуги, рублей, коп.</t>
    </r>
  </si>
  <si>
    <t>ФОТ и начисление</t>
  </si>
  <si>
    <t>КОСГУ 2230</t>
  </si>
  <si>
    <t>Начисление на заработная плату основного персонала</t>
  </si>
  <si>
    <t>Начисление на заработная плату АУП</t>
  </si>
  <si>
    <t>КОСГУ 2110, 2130 рублей</t>
  </si>
  <si>
    <t>итого по госуслуге</t>
  </si>
  <si>
    <t>Наименования учреждений, оказывающих государственную услугу (работу)</t>
  </si>
  <si>
    <t>БУЗ Орловской области "Болховская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</si>
  <si>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</si>
  <si>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</si>
  <si>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"Должанская ЦРБ"</t>
  </si>
  <si>
    <t>БУЗ Орловской области "Залегощенская ЦРБ"</t>
  </si>
  <si>
    <t>БУЗ Орловской области "Знаменская ЦРБ"</t>
  </si>
  <si>
    <t>БУЗ Орловской области "Колпнянская ЦРБ"</t>
  </si>
  <si>
    <t>БУЗ Орловской области "Кромская ЦРБ"</t>
  </si>
  <si>
    <t>БУЗ Орловской области "Ливенская ЦРБ"</t>
  </si>
  <si>
    <t>БУЗ Орловской области "Мценская ЦРБ"</t>
  </si>
  <si>
    <t>БУЗ Орловской области "Малоархангельская ЦРБ"</t>
  </si>
  <si>
    <t>БУЗ Орловской области "Покровская ЦРБ"</t>
  </si>
  <si>
    <t>БУЗ Орловской области "Сосковская ЦРБ"</t>
  </si>
  <si>
    <t>БУЗ Орловской области "Свердловская ЦРБ"</t>
  </si>
  <si>
    <t>БУЗ Орловской области "Нарышкинская ЦРБ"</t>
  </si>
  <si>
    <t>БУЗ Орловской области "Троснянская ЦРБ"</t>
  </si>
  <si>
    <t>БУЗ Орловской области "Шаблыкинская ЦРБ"</t>
  </si>
  <si>
    <t>БУЗ Орловской области "Новодеревеньковская ЦРБ"</t>
  </si>
  <si>
    <t>БУЗ Орловской области "Плещеевская ЦРБ"</t>
  </si>
  <si>
    <t>БУЗ Орловской области "Городская больница им. Боткина"</t>
  </si>
  <si>
    <t>человек</t>
  </si>
  <si>
    <t>БУЗ Орловской области "Детская поликлиника №1"</t>
  </si>
  <si>
    <t>БУЗ Орловской области "Детская поликлиника №2"</t>
  </si>
  <si>
    <t>БУЗ Орловской области "Детская поликлиника №3"</t>
  </si>
  <si>
    <t>БУЗ Орловской области "ООКБ"</t>
  </si>
  <si>
    <t>БУЗ Орловской области "Орловский наркологический диспансер"</t>
  </si>
  <si>
    <t>БУЗ Орловской области "Орловский кожно-венерологический диспансер"</t>
  </si>
  <si>
    <t>БУЗ Орловской области "Орловский онкологический диспансер"</t>
  </si>
  <si>
    <t>БУЗ Орловской области "Орловский противотуберкулезный диспансер</t>
  </si>
  <si>
    <t>газ</t>
  </si>
  <si>
    <t>БУЗ Орловской области "ООПБ"</t>
  </si>
  <si>
    <t>Расходы на питание (бесплатное молоко)</t>
  </si>
  <si>
    <t>вызова</t>
  </si>
  <si>
    <t>БУЗ Орловской области "Станция скорой медицинской помощи"</t>
  </si>
  <si>
    <t>Проведение тестирования медицинских и фармацевтических работников с использованием программных продуктов</t>
  </si>
  <si>
    <t>Сбор, обработка, контроль, формирование и предоставление сводных отчетов о состоянии здоровья населения , деятельности и ресурсах учреждений здравоохранения</t>
  </si>
  <si>
    <t>Исполнение функций оператора медицинской информационной системы</t>
  </si>
  <si>
    <t>БУЗ Орловской области "Медицинский информационно-аналитический центр"</t>
  </si>
  <si>
    <t>БУЗ Орловской области "Орловская дезинфекционная станция"</t>
  </si>
  <si>
    <t>литров</t>
  </si>
  <si>
    <t>БУЗ Орловской области "Орловский областной центр по профилактике и борьбе со СПИД и инфекционными заболеваниями"</t>
  </si>
  <si>
    <t>БУЗ Орловской области "Орловская областная стоматологическая больница"</t>
  </si>
  <si>
    <t>БУЗ Орловской области "Областная научная медицинская библиотека"</t>
  </si>
  <si>
    <t>койко-дни</t>
  </si>
  <si>
    <t>площадь обработанных очагов, кв.м.</t>
  </si>
  <si>
    <t>Вес обработанных  в дезинфекционных камерах вещей из очага, кг.</t>
  </si>
  <si>
    <r>
      <t xml:space="preserve">Раздел 1 Нормативные затраты </t>
    </r>
    <r>
      <rPr>
        <b/>
        <sz val="12"/>
        <color indexed="10"/>
        <rFont val="Times New Roman"/>
        <family val="1"/>
        <charset val="204"/>
      </rPr>
      <t>на единицу</t>
    </r>
    <r>
      <rPr>
        <b/>
        <sz val="12"/>
        <rFont val="Times New Roman"/>
        <family val="1"/>
        <charset val="204"/>
      </rPr>
      <t xml:space="preserve"> государственной услуги, рублей, коп.</t>
    </r>
  </si>
  <si>
    <t>БУЗ Орловской области "Орловская станция переливания крови"</t>
  </si>
  <si>
    <t xml:space="preserve">Компенсация питания  донорам </t>
  </si>
  <si>
    <t>Компенсация питания донорам</t>
  </si>
  <si>
    <t>Другие расходы (расшифровать),  рублей</t>
  </si>
  <si>
    <t>Уплата налогов , 290, рублей</t>
  </si>
  <si>
    <t>КОСГУ           226</t>
  </si>
  <si>
    <t>Другие расходы (расшифровать), рублей</t>
  </si>
  <si>
    <t>аренда, рублей</t>
  </si>
  <si>
    <t>аренда,  рублей</t>
  </si>
  <si>
    <t>Расходы на питание  (бесплатное молоко)</t>
  </si>
  <si>
    <t>Уплата налогов , 290,  рублей</t>
  </si>
  <si>
    <t>Эксплуатация охранной сигнализации             (КОСГУ   225)</t>
  </si>
  <si>
    <t>Эксплуатация пожарной сигнализации                  (КОСГУ   225)</t>
  </si>
  <si>
    <t>в том числе по КОСГУ</t>
  </si>
  <si>
    <t>Всего</t>
  </si>
  <si>
    <t>случаи госпитализации</t>
  </si>
  <si>
    <t>БУЗ Орловской области "Орловская областная психиатрическая больница"</t>
  </si>
  <si>
    <t>БУЗ Орловской области "Больница скорой медицинской помощи им. Семашко"</t>
  </si>
  <si>
    <t>БУЗ Орловской области "Колпнянская  ЦРБ"</t>
  </si>
  <si>
    <t>БУЗ Орловской области "Орловский противотуберкулезный диспансер"</t>
  </si>
  <si>
    <t>Расходы на питание      на 1 чел. в год /  в т.ч. на 1 койко-день</t>
  </si>
  <si>
    <t>Эксплуатация пожарной сигнализации           (КОСГУ   225)</t>
  </si>
  <si>
    <t>Другие расходы (расшифровать), . рублей</t>
  </si>
  <si>
    <t>аренда, . рублей</t>
  </si>
  <si>
    <t>аренда,. рублей</t>
  </si>
  <si>
    <t>БУЗ Орловской области "Орловское бюро судебно-медицинской экспертизы"</t>
  </si>
  <si>
    <t>Уплата налогов , 290рублей</t>
  </si>
  <si>
    <t>Уплата налогов , 290. рублей</t>
  </si>
  <si>
    <t>БУЗ Орловской области "Научно-клинический многопрофильный центр медицинской помощи детям имени З. И. Круглой"</t>
  </si>
  <si>
    <t>КОСГУ   225</t>
  </si>
  <si>
    <t xml:space="preserve">Организация и проведение заключительной и камерной дезинфекции, дезинсекции, дератизации в очагах инфекционных и паразитарных заболеваений и в условиях чрезвычайной ситуации                  </t>
  </si>
  <si>
    <t>Скорая, в том числе скорая специализированная, медицинская помощь (включая медицинскую эвакуацию), не включенная в базовую программу ОМС, а иакже оказание медицинской помощи при чрезвычайных ситуациях</t>
  </si>
  <si>
    <t>Скорая, в том числе скорая специализированная, медицинская помощь (включая медицинскую эвакуацию),  включенная в базовую программу ОМС, а иакже оказание медицинской помощи при чрезвычайных ситуациях</t>
  </si>
  <si>
    <t>БУЗ Орловской области "Областной психоневрологический диспансер"</t>
  </si>
  <si>
    <r>
      <t xml:space="preserve">Скорая, в том числе скорая специализированная, медицинская помощь (включая медицинскую эвакуацию), </t>
    </r>
    <r>
      <rPr>
        <sz val="14"/>
        <rFont val="Times New Roman"/>
        <family val="1"/>
        <charset val="204"/>
      </rPr>
      <t>не включенная</t>
    </r>
    <r>
      <rPr>
        <b/>
        <sz val="14"/>
        <rFont val="Times New Roman"/>
        <family val="1"/>
        <charset val="204"/>
      </rPr>
      <t xml:space="preserve"> в базовую программу ОМС, а также оказание медицинской помощи при чрезвычайных ситуациях</t>
    </r>
  </si>
  <si>
    <t>БУЗ Орловской области "НКМЦ" медицинской помощи детям имени З. И. Круглой"</t>
  </si>
  <si>
    <t>количество отчетов (мониторингов, информаций),составленных по результатам работы, штука</t>
  </si>
  <si>
    <t>количество трудозатрат, человеко-день</t>
  </si>
  <si>
    <t>Обеспечение специальными молочными продуктами детского питания</t>
  </si>
  <si>
    <t>количество обслуживаемых лиц, единица</t>
  </si>
  <si>
    <t>КБК 811  0902 П2 4 09 70110  611  241</t>
  </si>
  <si>
    <t>Заготовка, хранение, тарнспортировка и обеспечение безопасности донорской крови и ее компонентов</t>
  </si>
  <si>
    <t>Изготовление, ремонт и установка зубных протезов (за исключением протезов из дагоценных металлов и других дорогостоящих материалов)</t>
  </si>
  <si>
    <t>количество лиц, человек</t>
  </si>
  <si>
    <t>Судебно-медицинская экспертиза</t>
  </si>
  <si>
    <t>количество экспертиз, условная единица</t>
  </si>
  <si>
    <t>Библиотечное, библиографическое и информационное обслуживание библиотеки  КБК 811 0801 ПЦБ4 11 70110 611 241</t>
  </si>
  <si>
    <t>Библиотечное, библиографическое и информационное обслуживание библиотеки</t>
  </si>
  <si>
    <t>количество посещений, единица</t>
  </si>
  <si>
    <t>Патологическая анатомия</t>
  </si>
  <si>
    <t>КБК 811 0901 П2 2 15 70110 611 241</t>
  </si>
  <si>
    <t>количество вскрытий, единица</t>
  </si>
  <si>
    <t>Профили специализированной медицинской помощи</t>
  </si>
  <si>
    <t>"Фтизиатрия"</t>
  </si>
  <si>
    <t>"Психиатрия-наркология" (в части наркологии)</t>
  </si>
  <si>
    <t>"Дерматовенерология в части венерологии"</t>
  </si>
  <si>
    <t>случаи госпитализации, условная единица</t>
  </si>
  <si>
    <t>"Психиатрия"</t>
  </si>
  <si>
    <t>Инфекционные болезни (в части синдром приобретенного иммунодефицита (ВИЧ-инфекции)"</t>
  </si>
  <si>
    <t>ИТОГО по КБК: 811 0901 П2 2 04 70110 611 241</t>
  </si>
  <si>
    <t>ИТОГО по КБК: 811 0901 П2 2 01 70110 611 241</t>
  </si>
  <si>
    <t>ИТОГО по КБК: 811 0901 П2 2 09 70110 611 241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</si>
  <si>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</si>
  <si>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 xml:space="preserve">Специализированная медицинская помощь (за исключением высокотехнолдогичной медицинской помощи), включенная в базовую программу обязательного медицинского страхования </t>
  </si>
  <si>
    <t>БУЗ Орловской области "ООД"</t>
  </si>
  <si>
    <t>ИТОГО по КБК: 811 0901 П2 2 06 70110 611 241</t>
  </si>
  <si>
    <t>БУЗ Орловской области "НКМЦ им. З.И. Круглой"</t>
  </si>
  <si>
    <t>ИТОГО по КБК: 811 0901 П2 4 01 70110 611 241</t>
  </si>
  <si>
    <t>ИТОГО по КБК: 811 0901 П2 4 04 70110 611 241</t>
  </si>
  <si>
    <t xml:space="preserve"> КБК 811 0901 П2 6 01 70110  611 241                           </t>
  </si>
  <si>
    <t>Организация круглосуточного приема, содержания, выхаживания и воспитания детей   КБК 811 0909 П2 4 01 70110</t>
  </si>
  <si>
    <t>Организация круглосуточного приема, содержания, выхаживания и воспитания детей</t>
  </si>
  <si>
    <t xml:space="preserve"> КУЗ Орловской области "Специализированный дом ребенка"</t>
  </si>
  <si>
    <t>число обращений, условная единица</t>
  </si>
  <si>
    <t>Психиатрия</t>
  </si>
  <si>
    <t>Наркология</t>
  </si>
  <si>
    <t>Фтизиатрия</t>
  </si>
  <si>
    <t>Венерология</t>
  </si>
  <si>
    <t>Первичная медико-санитарная помощь, не включенная в базовую программу ОМС.</t>
  </si>
  <si>
    <t>Профили первичной медико-санитарной помощи</t>
  </si>
  <si>
    <t>число посещений, условная единица</t>
  </si>
  <si>
    <t>Первичная медико-санитарная помощь, в части диагностики и лечения</t>
  </si>
  <si>
    <t>Первичная медико-санитарная помощь,в части профилактики</t>
  </si>
  <si>
    <t>Виды первичной медико-санитарной помощи</t>
  </si>
  <si>
    <t>БУЗ Орловской области "Колпняняская ЦРБ"</t>
  </si>
  <si>
    <t>БУЗ Орловской области "ПокровскаяЦРБ"</t>
  </si>
  <si>
    <t>БУЗ Орловской области "Свердловская  ЦРБ"</t>
  </si>
  <si>
    <t>БУЗ Орловской области "Новодеревеньковская  ЦРБ"</t>
  </si>
  <si>
    <t>БУЗ Орловской области "Верховская  ЦРБ"</t>
  </si>
  <si>
    <t>БУЗ Орловской области "Глазуновская  ЦРБ"</t>
  </si>
  <si>
    <t>БУЗ Орловской области "Дмитровская  ЦРБ"</t>
  </si>
  <si>
    <t>БУЗ Орловской области "Должанская  ЦРБ"</t>
  </si>
  <si>
    <t>БУЗ Орловской области "Залегощенская  ЦРБ"</t>
  </si>
  <si>
    <t>БУЗ Орловской области "Корсаковская  ЦРБ"</t>
  </si>
  <si>
    <t>БУЗ Орловской области "Краснозоренская  ЦРБ"</t>
  </si>
  <si>
    <t>БУЗ Орловской области "Кромская  ЦРБ"</t>
  </si>
  <si>
    <t>БУЗ Орловской области "Малоархангельская  ЦРБ"</t>
  </si>
  <si>
    <t>БУЗ Орловской области "Новосильская  ЦРБ"</t>
  </si>
  <si>
    <t>БУЗ Орловской области "Сосковская  ЦРБ"</t>
  </si>
  <si>
    <t>БУЗ Орловской области "Тросняняская  ЦРБ"</t>
  </si>
  <si>
    <t>БУЗ Орловской области "Хотынецкая ЦРБ"</t>
  </si>
  <si>
    <t>ВСЕГО</t>
  </si>
  <si>
    <t>Психотерапия</t>
  </si>
  <si>
    <t>БУЗ Орловской области "Поликлиника №5"</t>
  </si>
  <si>
    <t>БУЗ Орловской области "Больница скорой медицинской поморщи им. Семашко"</t>
  </si>
  <si>
    <t>БУЗ Орловской области "ОПТД"</t>
  </si>
  <si>
    <t>БУЗ Орловской области "ОНД"</t>
  </si>
  <si>
    <t>БУЗ Орловской области "ООКВД"</t>
  </si>
  <si>
    <t>БУЗ Орловской области "ОПНД"</t>
  </si>
  <si>
    <t>БУЗ Орловской области "ОВФД"</t>
  </si>
  <si>
    <t>Клиническая лабораторная диагностика</t>
  </si>
  <si>
    <t>Медицинское освидетельствование на сосмтояние опьянения (алкогольного, наркотического или иного токсического)</t>
  </si>
  <si>
    <t>количество освидетельствований, штука</t>
  </si>
  <si>
    <t>БУЗ ОО "Ливенская ЦРБ"</t>
  </si>
  <si>
    <t>БУЗ ОО "Мценская ЦРБ"</t>
  </si>
  <si>
    <t>БУЗ ОО "ОНД"</t>
  </si>
  <si>
    <t>Судебно-психиатрическая экспертиза</t>
  </si>
  <si>
    <t>БУЗ ОО "ООПБ"</t>
  </si>
  <si>
    <t>БУЗ ОО "ОПНД"</t>
  </si>
  <si>
    <t xml:space="preserve"> "Работы по профилактике неинфекционныцх заболеваний, формированию здорового образа жизни и санитарно-гигиеническому просвещению населения </t>
  </si>
  <si>
    <t>БУЗ ОО "ОВФД"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</si>
  <si>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</si>
  <si>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БУЗ ОО "ООКБ"</t>
  </si>
  <si>
    <t>КУЗ особого типа "Орловский областной медицинский центр мобилизационных резервов "Резерв"</t>
  </si>
  <si>
    <t>отчет</t>
  </si>
  <si>
    <t xml:space="preserve"> "Обеспечение готовности к своевременному и эффектвному оказанию медицинской помощи, ликвидации эпидемических очагов при стихийных бедствиях, авариях, катастрофах и эпидемиях и ликвидации медико-санитарных последтвий чрезвычайных ситуациях в РФ и за рубежим"</t>
  </si>
  <si>
    <t>Первичная медико-санитарная помощь, не включенная в базовую программу ОМС</t>
  </si>
  <si>
    <t>ВИЧ-инфекция</t>
  </si>
  <si>
    <t>1. Услуги</t>
  </si>
  <si>
    <t>2. Работы</t>
  </si>
  <si>
    <t xml:space="preserve">Организация и проведение консультативных, методических, профилактических и  противоэпидемических мероприятий по предупреждению распространения ВИЧ-инфекции  </t>
  </si>
  <si>
    <t>мероприятия, единица</t>
  </si>
  <si>
    <t>1. Государственные услуги:  "Первичная медико-санитарная помощь, не включенная в базовую программу ОМС" ; 2. Работы  "Организация и проведение консультативных, методических, профилактических и  противоэпидемических мероприятий по предупреждению распространения ВИЧ-инфекции"  КБК 811 0909 П2 2 02 70110   611 241</t>
  </si>
  <si>
    <t>ИТОГО по КБК: 811 0901 П2 2 03 70110 611 241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</si>
  <si>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</t>
  </si>
  <si>
    <t>ИТОГО 811 0902 П21 04 70110 611 241</t>
  </si>
  <si>
    <t>посещение - всего</t>
  </si>
  <si>
    <t>ИТОГО 811 0902 П2 2 01 70110 611 241</t>
  </si>
  <si>
    <t>ИТОГО 811 0902 П2 2 03 70110 611 241</t>
  </si>
  <si>
    <t>ИТОГО 811 0902 П2 2 09 70110 611 241</t>
  </si>
  <si>
    <t>ИТОГО 811 0902 П2 2 04 70110 611 241</t>
  </si>
  <si>
    <t>ИТОГО 811 0902 П2 2 06 70110 611 241</t>
  </si>
  <si>
    <t>ИТОГО 811 0902 П2 4 01 70110 611 241</t>
  </si>
  <si>
    <t>ИТОГО 811 0902 П2 4 04 70110 611 241</t>
  </si>
  <si>
    <t>Специализированная медицинская помощь (за исключением высокотехнологичной медицинской помощи), не включенная в базовую программу ОМС</t>
  </si>
  <si>
    <t>Специализированная медицинская помощь (за исключением высокотехнологичной медицинской помощи), не включенная в базовую программу ОМС  ( в условиях дневного стационара)</t>
  </si>
  <si>
    <t>ИТОГО 811 0903 П2 2 04 70110 611 241</t>
  </si>
  <si>
    <t>ИТОГО 811 0903 П2 2 01 70110 611 241</t>
  </si>
  <si>
    <t>ИТОГО 811 0903 П2 2 03 70110 611 241</t>
  </si>
  <si>
    <t>ИТОГО 811 0903 П2 2 09 70110 611 241</t>
  </si>
  <si>
    <t>ИТОГО 811 0909 П2 2 02 70110 611 241</t>
  </si>
  <si>
    <t>мероприятия,условная единица</t>
  </si>
  <si>
    <t>БУЗ Орловской области "ООВФД"</t>
  </si>
  <si>
    <t xml:space="preserve">РАЗДЕЛ 2  РАБОТЫ   </t>
  </si>
  <si>
    <t>Медицинское освидетельствование на состояние опьянения (алкогольного , наркотического или иного токсического) по КБК 811 0902 П2 1 04 70110 611 241; 811 0902 П2 1 04 70110 611 241</t>
  </si>
  <si>
    <t>Судебно-психиатрическая экспертизапо КБК 811 0902 П2 2 04 70110 611 241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</si>
  <si>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 по КБК 811 0902 П2 2 09 70110 611 241</t>
  </si>
  <si>
    <t>Уплата налогов ,            рублей</t>
  </si>
  <si>
    <t xml:space="preserve"> </t>
  </si>
  <si>
    <t>Медикаменты</t>
  </si>
  <si>
    <t>БУЗ Орловской области "НКМЦ" медицинской помощи детям имени            З. И. Круглой"</t>
  </si>
  <si>
    <t>Условия и формы оказания</t>
  </si>
  <si>
    <t>Дневной стационар</t>
  </si>
  <si>
    <t>Первичная медико-санитарная помощь, не включенная в базовую программу обязательного медицинского страхования по профилям:</t>
  </si>
  <si>
    <t>"Дерматовенерология                        (в части венерологии)"</t>
  </si>
  <si>
    <t>"Психиатрия-наркология                       (в части наркологии)"</t>
  </si>
  <si>
    <t>КОСГУ    225 (услуги прачечной)</t>
  </si>
  <si>
    <t>Раздел 2. РАБОТЫ      "Медицинское освидетельствование на состояние опьянения (алкогольного , наркотического или иного токсического)"                            по КБК 811 0902 П2 1 04 70110 611 241</t>
  </si>
  <si>
    <t>Раздел 2. РАБОТЫ      "Медицинское освидетельствование на состояние опьянения (алкогольного , наркотического или иного токсического)"                                                    по КБК 811 0902 П2 2 03 70110 611 241</t>
  </si>
  <si>
    <t>Количественный показатель государственной услуги (работы)</t>
  </si>
  <si>
    <t>Всего на 1 ед. услуги (работы), рублей</t>
  </si>
  <si>
    <r>
      <t xml:space="preserve">Раздел 1 Нормативные затраты </t>
    </r>
    <r>
      <rPr>
        <b/>
        <sz val="11"/>
        <color indexed="10"/>
        <rFont val="Times New Roman"/>
        <family val="1"/>
        <charset val="204"/>
      </rPr>
      <t>на единицу</t>
    </r>
    <r>
      <rPr>
        <b/>
        <sz val="11"/>
        <rFont val="Times New Roman"/>
        <family val="1"/>
        <charset val="204"/>
      </rPr>
      <t xml:space="preserve"> государственной услуги (работы), рублей, коп.</t>
    </r>
  </si>
  <si>
    <t>Раздел 2.  Расходы, связанные с оказанем государственной услуги (работы), рублей</t>
  </si>
  <si>
    <t>Расчетно-нормативные затраты на оказание государственной услуги (работы)</t>
  </si>
  <si>
    <t>Норматив затрат на единицу государственной услуги (работы)                    в год</t>
  </si>
  <si>
    <t>Наименование государственной услуги (работы), государственного учреждения</t>
  </si>
  <si>
    <t>Раздел 2 РАБОТЫ          Патологическая анатомия   КБК 811 0901 П2 2 15 70110 611 241</t>
  </si>
  <si>
    <t>КОСГУ    225</t>
  </si>
  <si>
    <t>Стационар</t>
  </si>
  <si>
    <t>Койко-дни</t>
  </si>
  <si>
    <t>ВСЕГО 811 0902 П2 2 09 70110 611 241</t>
  </si>
  <si>
    <t>Нормативные затраты на единицу государственной услуги (работы)</t>
  </si>
  <si>
    <t>Всего на     1 ед.  государственной услуги  (работы)</t>
  </si>
  <si>
    <t>Норматив затрат на единицу государственной услуги (работы), в год</t>
  </si>
  <si>
    <t>Раздел 2. РАБОТЫ. Обеспечение специальными молочными продуктами детского питания    КБК   811 0902 П2 4 09 70110 611 241</t>
  </si>
  <si>
    <t>Наименование государственной услуги (работы) государственного учреждения</t>
  </si>
  <si>
    <t xml:space="preserve">Раздел 2. РАБОТЫ  Организация и проведение заключительной и камерной дезинфекции, дезинсекции, дератизации в очагах инфекционных и паразитарных заболеваений и в условиях чрезвычайной ситуации  КБК   811 0907 П22 14 70110 611 241 </t>
  </si>
  <si>
    <t>Всего расходов на оказание государственной услуги (работы)</t>
  </si>
  <si>
    <t>Норматив затрат на единицу государственной услуги (работы)          в год</t>
  </si>
  <si>
    <t>Раздел 2 РАБОТЫ    Заготовка, хранение, транспортировка и обеспечение безопасности донорской крови и ее компонентов  КБК 811 0906 П22 11 70110 611 241</t>
  </si>
  <si>
    <r>
      <t xml:space="preserve">Раздел 1 Нормативные затраты </t>
    </r>
    <r>
      <rPr>
        <b/>
        <sz val="12"/>
        <color indexed="10"/>
        <rFont val="Times New Roman"/>
        <family val="1"/>
        <charset val="204"/>
      </rPr>
      <t>на единицу</t>
    </r>
    <r>
      <rPr>
        <b/>
        <sz val="12"/>
        <rFont val="Times New Roman"/>
        <family val="1"/>
        <charset val="204"/>
      </rPr>
      <t xml:space="preserve"> государственной услуги (работы), рублей, коп.</t>
    </r>
  </si>
  <si>
    <t>в расчете на 1 ед. государственной услуги (работы) в год, в руб.</t>
  </si>
  <si>
    <t>Расчетно-нормативные затраты на оказание государственной услуги (работиы)</t>
  </si>
  <si>
    <t xml:space="preserve">Норматив затрат на единицу государственной услуги (работы)         в год </t>
  </si>
  <si>
    <t>Раздел 2 РАБОТЫ  Судебно-медицинская экспертиза  КБК 811 0909 П2 2 12 70110 611 241</t>
  </si>
  <si>
    <t>Норматив затрат на единицу государственной услуги (работы)          в год, рублей</t>
  </si>
  <si>
    <t>Раздел 2 РАБОТЫ Изготовление, ремонт и установка зубных протезов (за исключением протезов из дагоценных металлов и других дорогостоящих материалов)                                                 КБК 811 0909 П2 2 09 71240 611 241</t>
  </si>
  <si>
    <t>ВСЕГО 811 0903 П2 2 01 70110 611 241</t>
  </si>
  <si>
    <t>ВСЕГО 811 0903 П2 2 04 70110 611 241</t>
  </si>
  <si>
    <t>ВСЕГО 811 0903 П2 2 03 70110 611 241</t>
  </si>
  <si>
    <t>ВСЕГО 811 0903 П2 2 09 70110 611 241</t>
  </si>
  <si>
    <t xml:space="preserve">     "Формирование, освежение, выпуск и содержание (обслуживание) резерва лекарственных средств для медицинского применения и медицинских изделий" по  КБК 811 0909 П2 2 13 70110 611 241</t>
  </si>
  <si>
    <t>Норматив затрат на единицу государственной услуги (работы)             в год</t>
  </si>
  <si>
    <t>Раздел 2.  Расходы, связанные с оказанем государственной услуги (работы) ,  рублей</t>
  </si>
  <si>
    <t>ВСЕГО 811 0902 П2 2 01 70110 611 241</t>
  </si>
  <si>
    <t>ВСЕГО 811 0902 П2 2 03 70110 611 241</t>
  </si>
  <si>
    <t>ВСЕГО 811 0902 П2 2 04 70110 611 241</t>
  </si>
  <si>
    <t>ВСЕГО 811 0902 П2 2 06 70110 611 241</t>
  </si>
  <si>
    <t>ВСЕГО 811 0902 П2 4 04 70110 611 241</t>
  </si>
  <si>
    <t>ВСЕГО 811 0902 П2 4 01 70110 611 241</t>
  </si>
  <si>
    <t>Раздел 2. РАБОТЫ      "Работы по профилактике неинфекционных заболеваний, формированию здорового образа жизни и санитарно-гигиеническому просвещению населения"    по КБК 811 0902 П2 2 09 70110 611 241</t>
  </si>
  <si>
    <t>Раздел 2. РАБОТЫ      "Судебно-психиатрическая экспертиза" по КБК  811 0902 П2 2 04 70110 611 241</t>
  </si>
  <si>
    <t>КОСГУ  225= содерж.им-ва</t>
  </si>
  <si>
    <t xml:space="preserve">КОСГУ 225 (техобсл. медоборуд. и пр. оборуд.) </t>
  </si>
  <si>
    <t>Первичная медико-санитарная помощь, не включенная в базовую программу обязательного медицинского страхования (в условиях дневного стационара)  по профилям:</t>
  </si>
  <si>
    <t>КОСГУ    225 (усл. прач)</t>
  </si>
  <si>
    <t>КОСГУ 226 (автострах)</t>
  </si>
  <si>
    <t xml:space="preserve">КОСГУ 225 (техобсл. обор) </t>
  </si>
  <si>
    <t>Высокотехнологичная медицинская помощь, не включенная в базовую программу обязательного медицинского страхования по профилям: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</si>
  <si>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</si>
  <si>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>Первичная медико-санитарная помощь в амбулаторных условиях</t>
  </si>
  <si>
    <t xml:space="preserve">    "Обеспечение готовности к своевременному и эффектвному оказанию медицинской помощи, ликвидации эпидемических очагов при стихийных бедствиях, авариях, катастрофах и эпидемиях и ликвидации медико-санитарных последтвий чрезвычайных ситуациях в РФ и за рубежим"  по  КБК 811 0904 П2 2 07 70110 611 241</t>
  </si>
  <si>
    <t>51/Травматология и ортопедия</t>
  </si>
  <si>
    <t>БУЗ Орловской области "НКМЦ медицинской помощи матерям и детям  им. З.И. Круглой"</t>
  </si>
  <si>
    <t>18/Онкология</t>
  </si>
  <si>
    <t>21/Онкология</t>
  </si>
  <si>
    <t>33/Педиатрия (эндокринология)</t>
  </si>
  <si>
    <t>8/Детская хирургия в период новорожденности</t>
  </si>
  <si>
    <t>16/Онкологтя</t>
  </si>
  <si>
    <t>9/Комбустиология</t>
  </si>
  <si>
    <t>31/ Педиатрия (кардиология)</t>
  </si>
  <si>
    <t>37/ Сердечно-сосудистая хирургия</t>
  </si>
  <si>
    <t>11/ Нейрохирургич</t>
  </si>
  <si>
    <t>кацтовары, бумага</t>
  </si>
  <si>
    <r>
      <t xml:space="preserve">Раздел 1 Нормативные затраты </t>
    </r>
    <r>
      <rPr>
        <b/>
        <sz val="11"/>
        <color indexed="10"/>
        <rFont val="Times New Roman"/>
        <family val="1"/>
        <charset val="204"/>
      </rPr>
      <t>на единицу</t>
    </r>
    <r>
      <rPr>
        <b/>
        <sz val="11"/>
        <rFont val="Times New Roman"/>
        <family val="1"/>
        <charset val="204"/>
      </rPr>
      <t xml:space="preserve"> государственной услуги, рублей, коп.</t>
    </r>
    <r>
      <rPr>
        <b/>
        <sz val="11"/>
        <color indexed="10"/>
        <rFont val="Times New Roman"/>
        <family val="1"/>
        <charset val="204"/>
      </rPr>
      <t xml:space="preserve"> (БЕЗ ТЕКУЩЕГО РЕМОНТА)</t>
    </r>
  </si>
  <si>
    <t>Специализированная медицинская помощь (за исключением высокотехнологичной медицинской помощи), не включенная в базовую программу ОМС по профилям:</t>
  </si>
  <si>
    <t>посуда</t>
  </si>
  <si>
    <t xml:space="preserve">КОСГУ   226 </t>
  </si>
  <si>
    <t>КОСГУ   225 (стирка; лаб. исслед)</t>
  </si>
  <si>
    <t xml:space="preserve">КОСГУ 225 (техобсл. Обор, ремонт) </t>
  </si>
  <si>
    <t>БУЗ Орловской области "НКМЦ медицинской помощи матерям и детям имени З. И. Круглой"</t>
  </si>
  <si>
    <t>Раздел 2 РАБОТЫ.  "Ведение информационных ресурсов и баз данных"  КБК  811 0909 П2 9 02 70110 611 241</t>
  </si>
  <si>
    <t xml:space="preserve"> "Ведение информационных ресурсов и баз данных"                                                                     КБК  811 0909 П2 9 02 70110 611 241</t>
  </si>
  <si>
    <t>Медицинская помощь в экстренной форме незастрахованным гражданам в системе обязательного медицинского страхования</t>
  </si>
  <si>
    <t>УСЛУГИ</t>
  </si>
  <si>
    <t>РАЗДЕЛ 2: РАБОТЫ</t>
  </si>
  <si>
    <t>БУЗ Орловской области "Краснозоренская ЦРБ"</t>
  </si>
  <si>
    <t>БУЗ Орловской области "Орловский онкологический лиспансер"</t>
  </si>
  <si>
    <t xml:space="preserve"> КБК 811 0902 П2 6 01 70110  611 241                           </t>
  </si>
  <si>
    <t>посещение</t>
  </si>
  <si>
    <t>БУЗ Орловской области "Поликлиника №3"</t>
  </si>
  <si>
    <t>БУЗ Орловской области "Поликлиника №2"</t>
  </si>
  <si>
    <t>Медицинская помощь в экстренной форме незастрахованным гражданам в системе обязательного медицинского страхования  по КБК 811 0902 П21 04 70110 611 241</t>
  </si>
  <si>
    <t xml:space="preserve">Первичная медико-санитарная помощь, не включенная в базовую программу ОМС. по КБК 811 0902 П21 04 70110 611 241; </t>
  </si>
  <si>
    <t>В амбулаторных условиях</t>
  </si>
  <si>
    <t>Паллиативная медицинская помощь в амбулаторных условиях  по   КБК 811 0902 П2 6 01 70110  611 241</t>
  </si>
  <si>
    <t>БУЗ Орловской области "НКМЦ" медицинской помощи детям и матерям им. З. И. Круглой"</t>
  </si>
  <si>
    <t>организация питание</t>
  </si>
  <si>
    <t>Паллиативная медицинская помощь в стационарных условиях  по   КБК 811 0901 П2 6 01 70110  611 241</t>
  </si>
  <si>
    <t xml:space="preserve">Паллиативная медицинская помощь  в стационарных условиях                  </t>
  </si>
  <si>
    <t xml:space="preserve">Паллиативная медицинская помощь в амбулаторных условиях                   </t>
  </si>
  <si>
    <t>60/Урология</t>
  </si>
  <si>
    <t>зп=здрав2016</t>
  </si>
  <si>
    <t>зп=здрав</t>
  </si>
  <si>
    <t>врачи</t>
  </si>
  <si>
    <t>средний</t>
  </si>
  <si>
    <t>младший</t>
  </si>
  <si>
    <t>прочий</t>
  </si>
  <si>
    <t xml:space="preserve">РАЗДЕЛ 2  РАБОТЫ                                                                                                                                                                                                                                                                                                       "Формирование, освежение, выпуск и содержание (обслуживание) резерва лекарственных средств для медицинского применения и медицинских изделий"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</si>
  <si>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Случаев лечения, условная единица</t>
  </si>
  <si>
    <t>КОСГУ 225 (поверка, ТО и ремонт оборудования)</t>
  </si>
  <si>
    <t>КОСГУ 226 (автострахование)</t>
  </si>
  <si>
    <t>КОСГУ    226 (утилизация, оценка качества, учеба, медосмотр)</t>
  </si>
  <si>
    <t>исследования</t>
  </si>
  <si>
    <t>БУЗ ОО "Детская поликлиника №1"</t>
  </si>
  <si>
    <t>Психолого-медико-психологическая реабилитация детей</t>
  </si>
  <si>
    <t>%</t>
  </si>
  <si>
    <t>Специализированная медицинская помощь (за исключением высокотехнологичной медицинской помощи),  включенная в базовую программу ОМС по профилям:</t>
  </si>
  <si>
    <t>29/Офтальмология (на условиях софинансирования)</t>
  </si>
  <si>
    <t>29/Офтальмология</t>
  </si>
  <si>
    <t>БУЗ Орловской области "Поликлиника №1"</t>
  </si>
  <si>
    <t>Пособия по социальной помощи</t>
  </si>
  <si>
    <t>тепло</t>
  </si>
  <si>
    <t>Приложение 3 (19) к приказу Департамента здравоохранения Орловской  области от 14.12.2017 г. № 1121</t>
  </si>
  <si>
    <t>Приложение 3 (18) к приказу Департамента здравоохранения Орловской  области от 14.12.2017 г.  № 1121</t>
  </si>
  <si>
    <t>Приложение 3 (17) к приказу Департамента здравоохранения Орловской  области от 14.12.2017г. № 1121</t>
  </si>
  <si>
    <t>Приложение 3 (16) к приказу Департамента здравоохранения Орловской  области от 14.12.2017 г. № 1121</t>
  </si>
  <si>
    <t>Приложение 3 (15) к приказу Департамента здравоохранения Орловской  области от 14.12.2017 г. № 1121</t>
  </si>
  <si>
    <t>Приложение 3 (14) к приказу Департамента здравоохранения Орловской  области от 14.12.2017 г. № 1121</t>
  </si>
  <si>
    <t>Приложение 3 (13) к приказу Департамента здравоохранения Орловской  области от 14.12.2017 г. №1121</t>
  </si>
  <si>
    <t>Приложение 3 (12) к приказу Департамента здравоохранения Орловской  области от 14.12.2017 г. № 1121</t>
  </si>
  <si>
    <t>Приложение 3 (11) к приказу Департамента здравоохранения Орловской  области от 14.12.2017 г. № 1121</t>
  </si>
  <si>
    <t>Приложение 3 (10) к приказу Департамента здравоохранения Орловской  области от 14.12.2017 г. №1121</t>
  </si>
  <si>
    <t>Приложение 3 (9) к  приказу Департамента здравоохранения Орловской  области от 14.12.2017 г. № 1121</t>
  </si>
  <si>
    <t>Приложение 3 (8) к приказу Департамента здравоохранения Орловской  области от 14.12.2017 г. № 1121</t>
  </si>
  <si>
    <t>Приложение 3 (7) к приказу Департамента здравоохранения Орловской области  от 14.12.2017г. № 1121</t>
  </si>
  <si>
    <t>Приложение 3 (6) к приказу Департамента здравоохранения Орловской области  от 14.12.2017 г. №1121</t>
  </si>
  <si>
    <t>Приложение 3 (5) к приказу Департамента здравоохранения Орловской области  от 14.12.2017 г. №1121</t>
  </si>
  <si>
    <t>Приложение 3 (4) к приказу Департамента здравоохранения Орловской  области от 14.12.2017г. № 1121</t>
  </si>
  <si>
    <t>Приложение 3 (3) к приказу Департамента здравоохранения Орловской  области от 14.12.2017 г. № 1121</t>
  </si>
  <si>
    <t>Приложение 3 (2) к приказу Департамента здравоохранения Орловской  области от 14.12.2017 г. №1121</t>
  </si>
  <si>
    <t>Приложение 3 (1) к приказу Департамента здравоохранения Орловской  области от 14.12.2017 г. № 1121</t>
  </si>
  <si>
    <t>КОСГУ    222</t>
  </si>
  <si>
    <t>бахилы</t>
  </si>
  <si>
    <t>по КБК 811 0901 П2 2 10 R4020 611 241 17-828 (за счет средств областного бюджета)</t>
  </si>
  <si>
    <t>по КБК 811 0901 П2 2 10 R4020 611 241 17-828 (за счет средств федерального бюджета)</t>
  </si>
  <si>
    <t>(контейнеры)</t>
  </si>
  <si>
    <t>КОСГУ    223/7690 (судебные акты)</t>
  </si>
  <si>
    <t>Пособия по социальной помощи (при увольнении)</t>
  </si>
  <si>
    <t>распред</t>
  </si>
  <si>
    <t>Раздел 1 Нормативные затраты на единицу государственной услуги, рублей, коп.</t>
  </si>
  <si>
    <t xml:space="preserve">Всего на 1 ед.  государственной услуги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</si>
</sst>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#,##0.0"/>
    <numFmt numFmtId="166" formatCode="#,##0.000"/>
    <numFmt numFmtId="167" formatCode="#,##0_р_."/>
    <numFmt numFmtId="168" formatCode="#,##0.0000"/>
  </numFmts>
  <fonts count="4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.5"/>
      <color rgb="FF00B050"/>
      <name val="Times New Roman"/>
      <family val="1"/>
      <charset val="204"/>
    </font>
    <font>
      <b/>
      <sz val="11"/>
      <color rgb="FF682EFA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ED9"/>
        <bgColor indexed="64"/>
      </patternFill>
    </fill>
    <fill>
      <patternFill patternType="solid">
        <fgColor rgb="FFD2FED9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FFFF66"/>
        <bgColor indexed="64"/>
      </patternFill>
    </fill>
    <fill>
      <patternFill patternType="solid">
        <fgColor rgb="FFD3FDD8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10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165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3" fillId="0" borderId="0" xfId="0" applyNumberFormat="1" applyFont="1"/>
    <xf numFmtId="165" fontId="0" fillId="0" borderId="0" xfId="0" applyNumberFormat="1" applyAlignment="1">
      <alignment horizontal="center"/>
    </xf>
    <xf numFmtId="165" fontId="8" fillId="0" borderId="0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13" fillId="0" borderId="1" xfId="0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5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3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left" wrapText="1"/>
    </xf>
    <xf numFmtId="0" fontId="20" fillId="0" borderId="0" xfId="0" applyFont="1"/>
    <xf numFmtId="4" fontId="2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3" fontId="13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166" fontId="3" fillId="0" borderId="0" xfId="0" applyNumberFormat="1" applyFont="1"/>
    <xf numFmtId="165" fontId="7" fillId="0" borderId="2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top" wrapText="1"/>
    </xf>
    <xf numFmtId="4" fontId="21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4" fontId="0" fillId="0" borderId="6" xfId="0" applyNumberForma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3" fontId="3" fillId="0" borderId="0" xfId="0" applyNumberFormat="1" applyFont="1"/>
    <xf numFmtId="164" fontId="5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0" xfId="0" applyFont="1"/>
    <xf numFmtId="165" fontId="22" fillId="0" borderId="0" xfId="0" applyNumberFormat="1" applyFont="1"/>
    <xf numFmtId="165" fontId="22" fillId="0" borderId="0" xfId="0" applyNumberFormat="1" applyFont="1" applyAlignment="1">
      <alignment horizontal="center"/>
    </xf>
    <xf numFmtId="4" fontId="22" fillId="0" borderId="0" xfId="0" applyNumberFormat="1" applyFont="1"/>
    <xf numFmtId="0" fontId="14" fillId="0" borderId="0" xfId="0" applyFont="1" applyBorder="1" applyAlignment="1">
      <alignment horizontal="left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top"/>
    </xf>
    <xf numFmtId="0" fontId="13" fillId="0" borderId="6" xfId="0" applyFont="1" applyBorder="1" applyAlignment="1">
      <alignment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165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3" fillId="0" borderId="6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vertical="center"/>
    </xf>
    <xf numFmtId="164" fontId="7" fillId="5" borderId="2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164" fontId="7" fillId="5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5" fontId="1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2" fontId="13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5" fillId="7" borderId="7" xfId="0" applyNumberFormat="1" applyFont="1" applyFill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2" fontId="7" fillId="8" borderId="7" xfId="0" applyNumberFormat="1" applyFont="1" applyFill="1" applyBorder="1" applyAlignment="1">
      <alignment horizontal="center" vertical="center"/>
    </xf>
    <xf numFmtId="4" fontId="7" fillId="7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  <xf numFmtId="4" fontId="13" fillId="0" borderId="2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2" borderId="3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6" fillId="5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top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/>
    <xf numFmtId="2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5" fillId="8" borderId="7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4" fontId="5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20" fillId="0" borderId="0" xfId="0" applyFont="1" applyAlignment="1">
      <alignment textRotation="90"/>
    </xf>
    <xf numFmtId="0" fontId="20" fillId="0" borderId="0" xfId="0" applyFont="1" applyAlignment="1">
      <alignment horizontal="center" textRotation="90"/>
    </xf>
    <xf numFmtId="4" fontId="13" fillId="0" borderId="1" xfId="0" applyNumberFormat="1" applyFont="1" applyBorder="1" applyAlignment="1">
      <alignment horizontal="center" vertical="center" textRotation="90"/>
    </xf>
    <xf numFmtId="4" fontId="13" fillId="0" borderId="1" xfId="0" applyNumberFormat="1" applyFont="1" applyFill="1" applyBorder="1" applyAlignment="1">
      <alignment horizontal="center" vertical="center" textRotation="90"/>
    </xf>
    <xf numFmtId="3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164" fontId="7" fillId="0" borderId="2" xfId="0" applyNumberFormat="1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4" fontId="13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65" fontId="31" fillId="0" borderId="0" xfId="0" applyNumberFormat="1" applyFont="1" applyAlignment="1">
      <alignment horizontal="center"/>
    </xf>
    <xf numFmtId="4" fontId="8" fillId="0" borderId="0" xfId="0" applyNumberFormat="1" applyFont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wrapText="1"/>
    </xf>
    <xf numFmtId="3" fontId="7" fillId="10" borderId="1" xfId="0" applyNumberFormat="1" applyFont="1" applyFill="1" applyBorder="1" applyAlignment="1">
      <alignment horizontal="center" vertical="center"/>
    </xf>
    <xf numFmtId="3" fontId="13" fillId="10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4" fontId="0" fillId="5" borderId="0" xfId="0" applyNumberFormat="1" applyFill="1"/>
    <xf numFmtId="165" fontId="13" fillId="10" borderId="1" xfId="0" applyNumberFormat="1" applyFont="1" applyFill="1" applyBorder="1" applyAlignment="1">
      <alignment horizontal="center" vertical="center"/>
    </xf>
    <xf numFmtId="164" fontId="13" fillId="10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horizontal="center" vertical="center"/>
    </xf>
    <xf numFmtId="165" fontId="1" fillId="11" borderId="1" xfId="0" applyNumberFormat="1" applyFont="1" applyFill="1" applyBorder="1" applyAlignment="1">
      <alignment horizontal="center" vertical="top" wrapText="1"/>
    </xf>
    <xf numFmtId="165" fontId="7" fillId="11" borderId="1" xfId="0" applyNumberFormat="1" applyFont="1" applyFill="1" applyBorder="1" applyAlignment="1">
      <alignment horizontal="center" vertical="top" wrapText="1"/>
    </xf>
    <xf numFmtId="3" fontId="4" fillId="10" borderId="1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4" fontId="25" fillId="11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10" borderId="0" xfId="0" applyFill="1"/>
    <xf numFmtId="4" fontId="0" fillId="10" borderId="0" xfId="0" applyNumberFormat="1" applyFill="1"/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vertical="center" wrapText="1"/>
    </xf>
    <xf numFmtId="0" fontId="6" fillId="10" borderId="0" xfId="0" applyFont="1" applyFill="1" applyAlignment="1">
      <alignment horizontal="center"/>
    </xf>
    <xf numFmtId="0" fontId="6" fillId="10" borderId="0" xfId="0" applyFont="1" applyFill="1"/>
    <xf numFmtId="3" fontId="23" fillId="10" borderId="1" xfId="0" applyNumberFormat="1" applyFont="1" applyFill="1" applyBorder="1" applyAlignment="1">
      <alignment horizontal="center" vertical="center"/>
    </xf>
    <xf numFmtId="165" fontId="32" fillId="0" borderId="0" xfId="0" applyNumberFormat="1" applyFont="1"/>
    <xf numFmtId="0" fontId="32" fillId="0" borderId="0" xfId="0" applyFont="1"/>
    <xf numFmtId="3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11" fillId="9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wrapText="1"/>
    </xf>
    <xf numFmtId="4" fontId="7" fillId="11" borderId="1" xfId="0" applyNumberFormat="1" applyFont="1" applyFill="1" applyBorder="1" applyAlignment="1">
      <alignment horizontal="center" vertical="top" wrapText="1"/>
    </xf>
    <xf numFmtId="164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4" fontId="4" fillId="1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left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4" fontId="5" fillId="7" borderId="9" xfId="0" applyNumberFormat="1" applyFont="1" applyFill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wrapText="1"/>
    </xf>
    <xf numFmtId="0" fontId="0" fillId="11" borderId="1" xfId="0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65" fontId="13" fillId="0" borderId="1" xfId="0" applyNumberFormat="1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164" fontId="7" fillId="1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7" fillId="10" borderId="2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wrapText="1"/>
    </xf>
    <xf numFmtId="4" fontId="25" fillId="13" borderId="1" xfId="0" applyNumberFormat="1" applyFont="1" applyFill="1" applyBorder="1" applyAlignment="1">
      <alignment horizontal="center" vertical="center"/>
    </xf>
    <xf numFmtId="4" fontId="26" fillId="13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4" fillId="14" borderId="1" xfId="0" applyNumberFormat="1" applyFont="1" applyFill="1" applyBorder="1" applyAlignment="1">
      <alignment horizontal="center" vertical="center"/>
    </xf>
    <xf numFmtId="4" fontId="4" fillId="1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164" fontId="13" fillId="10" borderId="1" xfId="0" applyNumberFormat="1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top" wrapText="1"/>
    </xf>
    <xf numFmtId="165" fontId="4" fillId="12" borderId="1" xfId="0" applyNumberFormat="1" applyFont="1" applyFill="1" applyBorder="1" applyAlignment="1">
      <alignment horizontal="center" vertical="center"/>
    </xf>
    <xf numFmtId="164" fontId="4" fillId="15" borderId="1" xfId="0" applyNumberFormat="1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vertical="center"/>
    </xf>
    <xf numFmtId="3" fontId="4" fillId="15" borderId="1" xfId="0" applyNumberFormat="1" applyFont="1" applyFill="1" applyBorder="1" applyAlignment="1">
      <alignment horizontal="center" vertical="center"/>
    </xf>
    <xf numFmtId="4" fontId="4" fillId="15" borderId="1" xfId="0" applyNumberFormat="1" applyFont="1" applyFill="1" applyBorder="1" applyAlignment="1">
      <alignment horizontal="center" vertical="center"/>
    </xf>
    <xf numFmtId="4" fontId="4" fillId="15" borderId="1" xfId="0" applyNumberFormat="1" applyFont="1" applyFill="1" applyBorder="1" applyAlignment="1">
      <alignment horizontal="center" vertical="center" wrapText="1"/>
    </xf>
    <xf numFmtId="4" fontId="4" fillId="12" borderId="1" xfId="0" applyNumberFormat="1" applyFont="1" applyFill="1" applyBorder="1" applyAlignment="1">
      <alignment horizontal="center" vertical="center" wrapText="1"/>
    </xf>
    <xf numFmtId="164" fontId="5" fillId="14" borderId="1" xfId="0" applyNumberFormat="1" applyFont="1" applyFill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top" wrapText="1"/>
    </xf>
    <xf numFmtId="4" fontId="5" fillId="14" borderId="1" xfId="0" applyNumberFormat="1" applyFont="1" applyFill="1" applyBorder="1" applyAlignment="1">
      <alignment horizontal="center" vertical="center"/>
    </xf>
    <xf numFmtId="4" fontId="7" fillId="14" borderId="1" xfId="0" applyNumberFormat="1" applyFont="1" applyFill="1" applyBorder="1" applyAlignment="1">
      <alignment horizontal="center" vertical="center"/>
    </xf>
    <xf numFmtId="4" fontId="5" fillId="14" borderId="1" xfId="0" applyNumberFormat="1" applyFont="1" applyFill="1" applyBorder="1" applyAlignment="1">
      <alignment horizontal="center" vertical="center" wrapText="1"/>
    </xf>
    <xf numFmtId="4" fontId="7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top" wrapText="1"/>
    </xf>
    <xf numFmtId="165" fontId="4" fillId="14" borderId="1" xfId="0" applyNumberFormat="1" applyFont="1" applyFill="1" applyBorder="1" applyAlignment="1">
      <alignment horizontal="center" vertical="center"/>
    </xf>
    <xf numFmtId="165" fontId="5" fillId="14" borderId="1" xfId="0" applyNumberFormat="1" applyFont="1" applyFill="1" applyBorder="1" applyAlignment="1">
      <alignment horizontal="center" vertical="center"/>
    </xf>
    <xf numFmtId="4" fontId="5" fillId="16" borderId="1" xfId="0" applyNumberFormat="1" applyFont="1" applyFill="1" applyBorder="1" applyAlignment="1">
      <alignment horizontal="center" vertical="center"/>
    </xf>
    <xf numFmtId="165" fontId="5" fillId="17" borderId="2" xfId="0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 vertical="center"/>
    </xf>
    <xf numFmtId="165" fontId="5" fillId="16" borderId="1" xfId="0" applyNumberFormat="1" applyFont="1" applyFill="1" applyBorder="1" applyAlignment="1">
      <alignment horizontal="center" vertical="center"/>
    </xf>
    <xf numFmtId="0" fontId="3" fillId="16" borderId="0" xfId="0" applyFont="1" applyFill="1"/>
    <xf numFmtId="165" fontId="7" fillId="0" borderId="3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65" fontId="13" fillId="0" borderId="3" xfId="0" applyNumberFormat="1" applyFont="1" applyBorder="1" applyAlignment="1">
      <alignment vertical="center"/>
    </xf>
    <xf numFmtId="165" fontId="13" fillId="0" borderId="4" xfId="0" applyNumberFormat="1" applyFont="1" applyBorder="1" applyAlignment="1">
      <alignment vertical="center"/>
    </xf>
    <xf numFmtId="165" fontId="3" fillId="0" borderId="1" xfId="0" applyNumberFormat="1" applyFont="1" applyBorder="1"/>
    <xf numFmtId="4" fontId="13" fillId="0" borderId="3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10" fontId="22" fillId="0" borderId="0" xfId="0" applyNumberFormat="1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4" fontId="7" fillId="5" borderId="1" xfId="0" applyNumberFormat="1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3" fontId="4" fillId="1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4" fontId="5" fillId="15" borderId="1" xfId="0" applyNumberFormat="1" applyFont="1" applyFill="1" applyBorder="1" applyAlignment="1">
      <alignment horizontal="center" vertical="center"/>
    </xf>
    <xf numFmtId="4" fontId="5" fillId="15" borderId="1" xfId="0" applyNumberFormat="1" applyFont="1" applyFill="1" applyBorder="1" applyAlignment="1">
      <alignment horizontal="center" vertical="center" wrapText="1"/>
    </xf>
    <xf numFmtId="4" fontId="4" fillId="15" borderId="2" xfId="0" applyNumberFormat="1" applyFont="1" applyFill="1" applyBorder="1" applyAlignment="1">
      <alignment horizontal="center" vertical="center"/>
    </xf>
    <xf numFmtId="4" fontId="5" fillId="15" borderId="3" xfId="0" applyNumberFormat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4" fontId="4" fillId="15" borderId="2" xfId="0" applyNumberFormat="1" applyFont="1" applyFill="1" applyBorder="1" applyAlignment="1">
      <alignment horizontal="center" vertical="center" wrapText="1"/>
    </xf>
    <xf numFmtId="165" fontId="5" fillId="15" borderId="1" xfId="0" applyNumberFormat="1" applyFont="1" applyFill="1" applyBorder="1" applyAlignment="1">
      <alignment horizontal="center" vertical="center"/>
    </xf>
    <xf numFmtId="164" fontId="7" fillId="15" borderId="1" xfId="0" applyNumberFormat="1" applyFont="1" applyFill="1" applyBorder="1" applyAlignment="1">
      <alignment horizontal="center" vertical="center" wrapText="1"/>
    </xf>
    <xf numFmtId="164" fontId="5" fillId="15" borderId="11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4" fillId="13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/>
    </xf>
    <xf numFmtId="4" fontId="4" fillId="14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13" borderId="1" xfId="0" applyNumberFormat="1" applyFont="1" applyFill="1" applyBorder="1" applyAlignment="1">
      <alignment horizontal="center" vertical="center" wrapText="1"/>
    </xf>
    <xf numFmtId="4" fontId="5" fillId="13" borderId="1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0" fillId="0" borderId="0" xfId="0" applyFont="1"/>
    <xf numFmtId="2" fontId="7" fillId="10" borderId="1" xfId="0" applyNumberFormat="1" applyFont="1" applyFill="1" applyBorder="1" applyAlignment="1">
      <alignment horizontal="center" vertical="center"/>
    </xf>
    <xf numFmtId="2" fontId="13" fillId="10" borderId="1" xfId="0" applyNumberFormat="1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 wrapText="1"/>
    </xf>
    <xf numFmtId="2" fontId="13" fillId="10" borderId="1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64" fontId="4" fillId="18" borderId="1" xfId="0" applyNumberFormat="1" applyFont="1" applyFill="1" applyBorder="1" applyAlignment="1">
      <alignment horizontal="center" vertical="top" wrapText="1"/>
    </xf>
    <xf numFmtId="164" fontId="4" fillId="18" borderId="1" xfId="0" applyNumberFormat="1" applyFont="1" applyFill="1" applyBorder="1" applyAlignment="1">
      <alignment horizontal="center" vertical="center" wrapText="1"/>
    </xf>
    <xf numFmtId="3" fontId="4" fillId="18" borderId="1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2" fontId="4" fillId="18" borderId="1" xfId="0" applyNumberFormat="1" applyFont="1" applyFill="1" applyBorder="1" applyAlignment="1">
      <alignment horizontal="center" vertical="center"/>
    </xf>
    <xf numFmtId="4" fontId="13" fillId="18" borderId="1" xfId="0" applyNumberFormat="1" applyFont="1" applyFill="1" applyBorder="1" applyAlignment="1">
      <alignment horizontal="center" vertical="center"/>
    </xf>
    <xf numFmtId="2" fontId="4" fillId="18" borderId="1" xfId="0" applyNumberFormat="1" applyFont="1" applyFill="1" applyBorder="1" applyAlignment="1">
      <alignment horizontal="center" vertical="center" wrapText="1"/>
    </xf>
    <xf numFmtId="4" fontId="13" fillId="18" borderId="1" xfId="0" applyNumberFormat="1" applyFont="1" applyFill="1" applyBorder="1" applyAlignment="1">
      <alignment horizontal="center" vertical="center" wrapText="1"/>
    </xf>
    <xf numFmtId="2" fontId="4" fillId="18" borderId="7" xfId="0" applyNumberFormat="1" applyFont="1" applyFill="1" applyBorder="1" applyAlignment="1">
      <alignment horizontal="center" vertical="center"/>
    </xf>
    <xf numFmtId="2" fontId="4" fillId="18" borderId="7" xfId="0" applyNumberFormat="1" applyFont="1" applyFill="1" applyBorder="1" applyAlignment="1">
      <alignment horizontal="center" vertical="center" wrapText="1"/>
    </xf>
    <xf numFmtId="4" fontId="4" fillId="18" borderId="1" xfId="0" applyNumberFormat="1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vertical="center"/>
    </xf>
    <xf numFmtId="3" fontId="4" fillId="18" borderId="1" xfId="0" applyNumberFormat="1" applyFont="1" applyFill="1" applyBorder="1" applyAlignment="1">
      <alignment vertical="center"/>
    </xf>
    <xf numFmtId="3" fontId="4" fillId="18" borderId="1" xfId="0" applyNumberFormat="1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top" wrapText="1"/>
    </xf>
    <xf numFmtId="4" fontId="4" fillId="18" borderId="1" xfId="0" applyNumberFormat="1" applyFont="1" applyFill="1" applyBorder="1" applyAlignment="1">
      <alignment horizontal="center" vertical="center" wrapText="1"/>
    </xf>
    <xf numFmtId="4" fontId="13" fillId="10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13" fillId="6" borderId="7" xfId="0" applyNumberFormat="1" applyFont="1" applyFill="1" applyBorder="1" applyAlignment="1">
      <alignment horizontal="center" vertical="center" wrapText="1"/>
    </xf>
    <xf numFmtId="4" fontId="4" fillId="19" borderId="7" xfId="0" applyNumberFormat="1" applyFont="1" applyFill="1" applyBorder="1" applyAlignment="1">
      <alignment horizontal="center" vertical="center"/>
    </xf>
    <xf numFmtId="4" fontId="4" fillId="18" borderId="7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/>
    </xf>
    <xf numFmtId="2" fontId="7" fillId="10" borderId="7" xfId="0" applyNumberFormat="1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 wrapText="1"/>
    </xf>
    <xf numFmtId="2" fontId="7" fillId="10" borderId="7" xfId="0" applyNumberFormat="1" applyFont="1" applyFill="1" applyBorder="1" applyAlignment="1">
      <alignment horizontal="center" vertical="center" wrapText="1"/>
    </xf>
    <xf numFmtId="2" fontId="5" fillId="20" borderId="1" xfId="0" applyNumberFormat="1" applyFont="1" applyFill="1" applyBorder="1" applyAlignment="1">
      <alignment horizontal="center" vertical="center"/>
    </xf>
    <xf numFmtId="2" fontId="7" fillId="20" borderId="7" xfId="0" applyNumberFormat="1" applyFont="1" applyFill="1" applyBorder="1" applyAlignment="1">
      <alignment horizontal="center" vertical="center"/>
    </xf>
    <xf numFmtId="2" fontId="5" fillId="20" borderId="1" xfId="0" applyNumberFormat="1" applyFont="1" applyFill="1" applyBorder="1" applyAlignment="1">
      <alignment horizontal="center" vertical="center" wrapText="1"/>
    </xf>
    <xf numFmtId="2" fontId="7" fillId="20" borderId="7" xfId="0" applyNumberFormat="1" applyFont="1" applyFill="1" applyBorder="1" applyAlignment="1">
      <alignment horizontal="center" vertical="center" wrapText="1"/>
    </xf>
    <xf numFmtId="164" fontId="5" fillId="20" borderId="1" xfId="0" applyNumberFormat="1" applyFont="1" applyFill="1" applyBorder="1" applyAlignment="1">
      <alignment horizontal="center" vertical="center" wrapText="1"/>
    </xf>
    <xf numFmtId="164" fontId="7" fillId="20" borderId="1" xfId="0" applyNumberFormat="1" applyFont="1" applyFill="1" applyBorder="1" applyAlignment="1">
      <alignment horizontal="center" vertical="center" wrapText="1"/>
    </xf>
    <xf numFmtId="3" fontId="5" fillId="20" borderId="1" xfId="0" applyNumberFormat="1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4" fontId="5" fillId="20" borderId="1" xfId="0" applyNumberFormat="1" applyFont="1" applyFill="1" applyBorder="1" applyAlignment="1">
      <alignment horizontal="center" vertical="center"/>
    </xf>
    <xf numFmtId="4" fontId="13" fillId="20" borderId="1" xfId="0" applyNumberFormat="1" applyFont="1" applyFill="1" applyBorder="1" applyAlignment="1">
      <alignment horizontal="center" vertical="center" wrapText="1"/>
    </xf>
    <xf numFmtId="4" fontId="6" fillId="20" borderId="1" xfId="0" applyNumberFormat="1" applyFont="1" applyFill="1" applyBorder="1" applyAlignment="1">
      <alignment horizontal="center" vertical="center"/>
    </xf>
    <xf numFmtId="4" fontId="7" fillId="20" borderId="1" xfId="0" applyNumberFormat="1" applyFont="1" applyFill="1" applyBorder="1" applyAlignment="1">
      <alignment horizontal="center" vertical="center"/>
    </xf>
    <xf numFmtId="165" fontId="5" fillId="20" borderId="1" xfId="0" applyNumberFormat="1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4" fontId="3" fillId="10" borderId="0" xfId="0" applyNumberFormat="1" applyFont="1" applyFill="1" applyAlignment="1">
      <alignment vertical="center"/>
    </xf>
    <xf numFmtId="0" fontId="3" fillId="10" borderId="0" xfId="0" applyFont="1" applyFill="1" applyAlignment="1">
      <alignment horizontal="center" vertical="center"/>
    </xf>
    <xf numFmtId="165" fontId="3" fillId="10" borderId="0" xfId="0" applyNumberFormat="1" applyFont="1" applyFill="1" applyAlignment="1">
      <alignment horizontal="center" vertical="center"/>
    </xf>
    <xf numFmtId="4" fontId="3" fillId="10" borderId="0" xfId="0" applyNumberFormat="1" applyFont="1" applyFill="1" applyAlignment="1">
      <alignment horizontal="center" vertical="center"/>
    </xf>
    <xf numFmtId="4" fontId="0" fillId="10" borderId="0" xfId="0" applyNumberFormat="1" applyFill="1" applyAlignment="1">
      <alignment horizontal="center" vertical="center"/>
    </xf>
    <xf numFmtId="4" fontId="20" fillId="10" borderId="0" xfId="0" applyNumberFormat="1" applyFont="1" applyFill="1" applyAlignment="1">
      <alignment horizontal="center" vertical="center"/>
    </xf>
    <xf numFmtId="164" fontId="5" fillId="21" borderId="1" xfId="0" applyNumberFormat="1" applyFont="1" applyFill="1" applyBorder="1" applyAlignment="1">
      <alignment horizontal="center" vertical="center" wrapText="1"/>
    </xf>
    <xf numFmtId="164" fontId="7" fillId="21" borderId="1" xfId="0" applyNumberFormat="1" applyFont="1" applyFill="1" applyBorder="1" applyAlignment="1">
      <alignment horizontal="center" vertical="center" wrapText="1"/>
    </xf>
    <xf numFmtId="3" fontId="5" fillId="21" borderId="1" xfId="0" applyNumberFormat="1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vertical="center" wrapText="1"/>
    </xf>
    <xf numFmtId="2" fontId="5" fillId="21" borderId="1" xfId="0" applyNumberFormat="1" applyFont="1" applyFill="1" applyBorder="1" applyAlignment="1">
      <alignment horizontal="center" vertical="center"/>
    </xf>
    <xf numFmtId="2" fontId="7" fillId="21" borderId="7" xfId="0" applyNumberFormat="1" applyFont="1" applyFill="1" applyBorder="1" applyAlignment="1">
      <alignment horizontal="center" vertical="center"/>
    </xf>
    <xf numFmtId="2" fontId="5" fillId="21" borderId="1" xfId="0" applyNumberFormat="1" applyFont="1" applyFill="1" applyBorder="1" applyAlignment="1">
      <alignment horizontal="center" vertical="center" wrapText="1"/>
    </xf>
    <xf numFmtId="2" fontId="7" fillId="21" borderId="7" xfId="0" applyNumberFormat="1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 vertical="center" wrapText="1"/>
    </xf>
    <xf numFmtId="4" fontId="5" fillId="21" borderId="1" xfId="0" applyNumberFormat="1" applyFont="1" applyFill="1" applyBorder="1" applyAlignment="1">
      <alignment horizontal="center" vertical="center"/>
    </xf>
    <xf numFmtId="165" fontId="5" fillId="21" borderId="1" xfId="0" applyNumberFormat="1" applyFont="1" applyFill="1" applyBorder="1" applyAlignment="1">
      <alignment horizontal="center" vertical="center"/>
    </xf>
    <xf numFmtId="4" fontId="6" fillId="10" borderId="0" xfId="0" applyNumberFormat="1" applyFont="1" applyFill="1" applyAlignment="1">
      <alignment horizontal="center" vertical="center"/>
    </xf>
    <xf numFmtId="164" fontId="4" fillId="22" borderId="1" xfId="0" applyNumberFormat="1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/>
    </xf>
    <xf numFmtId="4" fontId="4" fillId="22" borderId="1" xfId="0" applyNumberFormat="1" applyFont="1" applyFill="1" applyBorder="1" applyAlignment="1">
      <alignment horizontal="center" vertical="center"/>
    </xf>
    <xf numFmtId="3" fontId="4" fillId="22" borderId="1" xfId="0" applyNumberFormat="1" applyFont="1" applyFill="1" applyBorder="1" applyAlignment="1">
      <alignment horizontal="center" vertical="center"/>
    </xf>
    <xf numFmtId="2" fontId="4" fillId="22" borderId="1" xfId="0" applyNumberFormat="1" applyFont="1" applyFill="1" applyBorder="1" applyAlignment="1">
      <alignment horizontal="center" vertical="center"/>
    </xf>
    <xf numFmtId="2" fontId="5" fillId="22" borderId="7" xfId="0" applyNumberFormat="1" applyFont="1" applyFill="1" applyBorder="1" applyAlignment="1">
      <alignment horizontal="center" vertical="center"/>
    </xf>
    <xf numFmtId="2" fontId="5" fillId="22" borderId="1" xfId="0" applyNumberFormat="1" applyFont="1" applyFill="1" applyBorder="1" applyAlignment="1">
      <alignment horizontal="center" vertical="center"/>
    </xf>
    <xf numFmtId="2" fontId="5" fillId="22" borderId="1" xfId="0" applyNumberFormat="1" applyFont="1" applyFill="1" applyBorder="1" applyAlignment="1">
      <alignment horizontal="center" vertical="center" wrapText="1"/>
    </xf>
    <xf numFmtId="2" fontId="7" fillId="22" borderId="7" xfId="0" applyNumberFormat="1" applyFont="1" applyFill="1" applyBorder="1" applyAlignment="1">
      <alignment horizontal="center" vertical="center" wrapText="1"/>
    </xf>
    <xf numFmtId="165" fontId="4" fillId="22" borderId="1" xfId="0" applyNumberFormat="1" applyFont="1" applyFill="1" applyBorder="1" applyAlignment="1">
      <alignment horizontal="center" vertical="center"/>
    </xf>
    <xf numFmtId="4" fontId="18" fillId="22" borderId="1" xfId="0" applyNumberFormat="1" applyFont="1" applyFill="1" applyBorder="1" applyAlignment="1">
      <alignment horizontal="center" vertical="center"/>
    </xf>
    <xf numFmtId="4" fontId="6" fillId="14" borderId="3" xfId="0" applyNumberFormat="1" applyFont="1" applyFill="1" applyBorder="1" applyAlignment="1">
      <alignment horizontal="center" vertical="top" wrapText="1"/>
    </xf>
    <xf numFmtId="4" fontId="4" fillId="14" borderId="1" xfId="0" applyNumberFormat="1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top"/>
    </xf>
    <xf numFmtId="4" fontId="7" fillId="14" borderId="7" xfId="0" applyNumberFormat="1" applyFont="1" applyFill="1" applyBorder="1" applyAlignment="1">
      <alignment horizontal="center" vertical="center"/>
    </xf>
    <xf numFmtId="4" fontId="7" fillId="14" borderId="7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vertical="top" wrapText="1"/>
    </xf>
    <xf numFmtId="4" fontId="6" fillId="14" borderId="1" xfId="0" applyNumberFormat="1" applyFont="1" applyFill="1" applyBorder="1" applyAlignment="1">
      <alignment vertical="top" wrapText="1"/>
    </xf>
    <xf numFmtId="4" fontId="5" fillId="14" borderId="7" xfId="0" applyNumberFormat="1" applyFont="1" applyFill="1" applyBorder="1" applyAlignment="1">
      <alignment horizontal="center" vertical="center"/>
    </xf>
    <xf numFmtId="4" fontId="5" fillId="14" borderId="7" xfId="0" applyNumberFormat="1" applyFont="1" applyFill="1" applyBorder="1" applyAlignment="1">
      <alignment horizontal="center" vertical="center" wrapText="1"/>
    </xf>
    <xf numFmtId="3" fontId="6" fillId="14" borderId="1" xfId="0" applyNumberFormat="1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top" wrapText="1"/>
    </xf>
    <xf numFmtId="4" fontId="5" fillId="23" borderId="7" xfId="0" applyNumberFormat="1" applyFont="1" applyFill="1" applyBorder="1" applyAlignment="1">
      <alignment horizontal="center" vertical="center"/>
    </xf>
    <xf numFmtId="4" fontId="6" fillId="14" borderId="12" xfId="0" applyNumberFormat="1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0" fontId="30" fillId="14" borderId="1" xfId="0" applyFont="1" applyFill="1" applyBorder="1"/>
    <xf numFmtId="165" fontId="4" fillId="14" borderId="1" xfId="0" applyNumberFormat="1" applyFont="1" applyFill="1" applyBorder="1" applyAlignment="1">
      <alignment vertical="center"/>
    </xf>
    <xf numFmtId="4" fontId="30" fillId="14" borderId="1" xfId="0" applyNumberFormat="1" applyFont="1" applyFill="1" applyBorder="1"/>
    <xf numFmtId="3" fontId="4" fillId="14" borderId="1" xfId="0" applyNumberFormat="1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vertical="center"/>
    </xf>
    <xf numFmtId="4" fontId="6" fillId="14" borderId="1" xfId="0" applyNumberFormat="1" applyFont="1" applyFill="1" applyBorder="1" applyAlignment="1">
      <alignment vertical="center"/>
    </xf>
    <xf numFmtId="4" fontId="30" fillId="14" borderId="1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4" fontId="0" fillId="14" borderId="1" xfId="0" applyNumberFormat="1" applyFill="1" applyBorder="1" applyAlignment="1">
      <alignment vertical="center"/>
    </xf>
    <xf numFmtId="4" fontId="3" fillId="14" borderId="1" xfId="0" applyNumberFormat="1" applyFont="1" applyFill="1" applyBorder="1" applyAlignment="1">
      <alignment vertical="center"/>
    </xf>
    <xf numFmtId="0" fontId="5" fillId="14" borderId="1" xfId="0" applyFont="1" applyFill="1" applyBorder="1" applyAlignment="1">
      <alignment horizontal="center" vertical="center"/>
    </xf>
    <xf numFmtId="4" fontId="20" fillId="0" borderId="0" xfId="0" applyNumberFormat="1" applyFont="1"/>
    <xf numFmtId="4" fontId="7" fillId="0" borderId="0" xfId="0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13" fillId="5" borderId="1" xfId="2" applyNumberFormat="1" applyFont="1" applyFill="1" applyBorder="1" applyAlignment="1">
      <alignment horizontal="center" vertical="center" wrapText="1"/>
    </xf>
    <xf numFmtId="165" fontId="22" fillId="5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8" fontId="3" fillId="0" borderId="0" xfId="0" applyNumberFormat="1" applyFont="1"/>
    <xf numFmtId="4" fontId="22" fillId="10" borderId="1" xfId="0" applyNumberFormat="1" applyFont="1" applyFill="1" applyBorder="1" applyAlignment="1">
      <alignment horizontal="center" vertical="center"/>
    </xf>
    <xf numFmtId="166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4" fontId="13" fillId="0" borderId="1" xfId="0" applyNumberFormat="1" applyFont="1" applyFill="1" applyBorder="1" applyAlignment="1">
      <alignment vertical="center"/>
    </xf>
    <xf numFmtId="0" fontId="0" fillId="11" borderId="1" xfId="0" applyFill="1" applyBorder="1" applyAlignment="1">
      <alignment horizontal="center" wrapText="1"/>
    </xf>
    <xf numFmtId="4" fontId="7" fillId="11" borderId="1" xfId="0" applyNumberFormat="1" applyFont="1" applyFill="1" applyBorder="1" applyAlignment="1">
      <alignment horizontal="center" vertical="top" wrapText="1"/>
    </xf>
    <xf numFmtId="4" fontId="4" fillId="10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 wrapText="1"/>
    </xf>
    <xf numFmtId="165" fontId="21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4" fontId="7" fillId="12" borderId="7" xfId="0" applyNumberFormat="1" applyFont="1" applyFill="1" applyBorder="1" applyAlignment="1">
      <alignment horizontal="center" vertical="center"/>
    </xf>
    <xf numFmtId="4" fontId="7" fillId="12" borderId="7" xfId="0" applyNumberFormat="1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34" fillId="0" borderId="0" xfId="0" applyFont="1"/>
    <xf numFmtId="4" fontId="40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3" fontId="0" fillId="0" borderId="0" xfId="0" applyNumberFormat="1" applyAlignment="1">
      <alignment horizontal="center"/>
    </xf>
    <xf numFmtId="3" fontId="41" fillId="10" borderId="1" xfId="0" applyNumberFormat="1" applyFont="1" applyFill="1" applyBorder="1" applyAlignment="1">
      <alignment horizontal="center" vertical="center"/>
    </xf>
    <xf numFmtId="3" fontId="39" fillId="10" borderId="1" xfId="0" applyNumberFormat="1" applyFont="1" applyFill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3" fontId="42" fillId="10" borderId="1" xfId="0" applyNumberFormat="1" applyFont="1" applyFill="1" applyBorder="1" applyAlignment="1">
      <alignment horizontal="center" vertical="center"/>
    </xf>
    <xf numFmtId="4" fontId="43" fillId="11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5" fontId="35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13" fillId="13" borderId="1" xfId="0" applyNumberFormat="1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20" fillId="0" borderId="0" xfId="0" applyNumberFormat="1" applyFont="1"/>
    <xf numFmtId="166" fontId="22" fillId="0" borderId="0" xfId="0" applyNumberFormat="1" applyFont="1"/>
    <xf numFmtId="4" fontId="36" fillId="0" borderId="1" xfId="0" applyNumberFormat="1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4" fontId="38" fillId="0" borderId="1" xfId="0" applyNumberFormat="1" applyFont="1" applyBorder="1" applyAlignment="1">
      <alignment vertical="center" textRotation="90"/>
    </xf>
    <xf numFmtId="0" fontId="30" fillId="0" borderId="0" xfId="0" applyFont="1" applyAlignment="1">
      <alignment horizontal="center"/>
    </xf>
    <xf numFmtId="3" fontId="44" fillId="10" borderId="1" xfId="0" applyNumberFormat="1" applyFont="1" applyFill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5" fontId="4" fillId="18" borderId="1" xfId="0" applyNumberFormat="1" applyFont="1" applyFill="1" applyBorder="1" applyAlignment="1">
      <alignment horizontal="center" vertical="center"/>
    </xf>
    <xf numFmtId="4" fontId="18" fillId="18" borderId="1" xfId="0" applyNumberFormat="1" applyFont="1" applyFill="1" applyBorder="1" applyAlignment="1">
      <alignment horizontal="center" vertical="center"/>
    </xf>
    <xf numFmtId="165" fontId="0" fillId="0" borderId="0" xfId="0" applyNumberFormat="1" applyFont="1"/>
    <xf numFmtId="165" fontId="0" fillId="0" borderId="0" xfId="0" applyNumberFormat="1" applyFont="1" applyAlignment="1">
      <alignment horizontal="center"/>
    </xf>
    <xf numFmtId="4" fontId="0" fillId="0" borderId="0" xfId="0" applyNumberFormat="1" applyFo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/>
    <xf numFmtId="2" fontId="4" fillId="24" borderId="1" xfId="0" applyNumberFormat="1" applyFont="1" applyFill="1" applyBorder="1" applyAlignment="1">
      <alignment horizontal="center" vertical="center"/>
    </xf>
    <xf numFmtId="2" fontId="5" fillId="24" borderId="1" xfId="0" applyNumberFormat="1" applyFont="1" applyFill="1" applyBorder="1" applyAlignment="1">
      <alignment horizontal="center" vertical="center"/>
    </xf>
    <xf numFmtId="3" fontId="13" fillId="25" borderId="1" xfId="0" applyNumberFormat="1" applyFont="1" applyFill="1" applyBorder="1" applyAlignment="1">
      <alignment horizontal="center" vertical="center"/>
    </xf>
    <xf numFmtId="3" fontId="13" fillId="25" borderId="2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vertical="center"/>
    </xf>
    <xf numFmtId="4" fontId="21" fillId="10" borderId="1" xfId="0" applyNumberFormat="1" applyFont="1" applyFill="1" applyBorder="1" applyAlignment="1">
      <alignment horizontal="center" vertical="center"/>
    </xf>
    <xf numFmtId="4" fontId="20" fillId="10" borderId="1" xfId="0" applyNumberFormat="1" applyFont="1" applyFill="1" applyBorder="1" applyAlignment="1">
      <alignment horizontal="center" vertical="center"/>
    </xf>
    <xf numFmtId="4" fontId="5" fillId="2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wrapText="1"/>
    </xf>
    <xf numFmtId="4" fontId="4" fillId="0" borderId="4" xfId="0" applyNumberFormat="1" applyFont="1" applyBorder="1" applyAlignment="1">
      <alignment horizontal="left" wrapText="1"/>
    </xf>
    <xf numFmtId="0" fontId="14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top"/>
    </xf>
    <xf numFmtId="0" fontId="11" fillId="0" borderId="11" xfId="0" applyFont="1" applyBorder="1" applyAlignment="1">
      <alignment horizontal="center" vertical="top" wrapText="1"/>
    </xf>
    <xf numFmtId="0" fontId="0" fillId="0" borderId="14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0" fontId="13" fillId="10" borderId="2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10" borderId="5" xfId="0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3" fillId="0" borderId="15" xfId="0" applyNumberFormat="1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3" fillId="0" borderId="11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0" fillId="0" borderId="14" xfId="0" applyNumberFormat="1" applyBorder="1" applyAlignment="1">
      <alignment horizontal="center" vertical="top" wrapText="1"/>
    </xf>
    <xf numFmtId="4" fontId="0" fillId="0" borderId="12" xfId="0" applyNumberForma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14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165" fontId="13" fillId="0" borderId="2" xfId="0" applyNumberFormat="1" applyFont="1" applyFill="1" applyBorder="1" applyAlignment="1">
      <alignment horizontal="center" vertical="top" wrapText="1"/>
    </xf>
    <xf numFmtId="165" fontId="13" fillId="0" borderId="5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textRotation="90" wrapText="1"/>
    </xf>
    <xf numFmtId="4" fontId="13" fillId="14" borderId="1" xfId="0" applyNumberFormat="1" applyFont="1" applyFill="1" applyBorder="1" applyAlignment="1">
      <alignment horizontal="center" vertical="top" wrapText="1"/>
    </xf>
    <xf numFmtId="165" fontId="13" fillId="0" borderId="8" xfId="0" applyNumberFormat="1" applyFont="1" applyFill="1" applyBorder="1" applyAlignment="1">
      <alignment horizontal="center" vertical="top" wrapText="1"/>
    </xf>
    <xf numFmtId="165" fontId="13" fillId="0" borderId="4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5" fontId="13" fillId="0" borderId="2" xfId="0" applyNumberFormat="1" applyFont="1" applyBorder="1" applyAlignment="1">
      <alignment horizontal="center" vertical="top" wrapText="1"/>
    </xf>
    <xf numFmtId="165" fontId="13" fillId="0" borderId="5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top" wrapText="1"/>
    </xf>
    <xf numFmtId="0" fontId="0" fillId="13" borderId="1" xfId="0" applyFill="1" applyBorder="1" applyAlignment="1">
      <alignment wrapText="1"/>
    </xf>
    <xf numFmtId="164" fontId="13" fillId="0" borderId="2" xfId="0" applyNumberFormat="1" applyFont="1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13" fillId="0" borderId="2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7" fillId="0" borderId="8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top" wrapText="1"/>
    </xf>
    <xf numFmtId="164" fontId="14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164" fontId="7" fillId="0" borderId="6" xfId="0" applyNumberFormat="1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0" borderId="11" xfId="0" applyNumberFormat="1" applyFont="1" applyFill="1" applyBorder="1" applyAlignment="1">
      <alignment horizontal="center" vertical="top" wrapText="1"/>
    </xf>
    <xf numFmtId="165" fontId="7" fillId="0" borderId="18" xfId="0" applyNumberFormat="1" applyFont="1" applyFill="1" applyBorder="1" applyAlignment="1">
      <alignment horizontal="center" vertical="top" wrapText="1"/>
    </xf>
    <xf numFmtId="165" fontId="7" fillId="0" borderId="16" xfId="0" applyNumberFormat="1" applyFont="1" applyFill="1" applyBorder="1" applyAlignment="1">
      <alignment horizontal="center" vertical="top" wrapText="1"/>
    </xf>
    <xf numFmtId="165" fontId="7" fillId="0" borderId="12" xfId="0" applyNumberFormat="1" applyFont="1" applyFill="1" applyBorder="1" applyAlignment="1">
      <alignment horizontal="center" vertical="top" wrapText="1"/>
    </xf>
    <xf numFmtId="165" fontId="7" fillId="0" borderId="10" xfId="0" applyNumberFormat="1" applyFont="1" applyFill="1" applyBorder="1" applyAlignment="1">
      <alignment horizontal="center" vertical="top" wrapText="1"/>
    </xf>
    <xf numFmtId="165" fontId="7" fillId="0" borderId="17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top" wrapText="1"/>
    </xf>
    <xf numFmtId="0" fontId="0" fillId="0" borderId="6" xfId="0" applyBorder="1" applyAlignment="1"/>
    <xf numFmtId="0" fontId="0" fillId="0" borderId="5" xfId="0" applyBorder="1" applyAlignment="1"/>
    <xf numFmtId="165" fontId="7" fillId="0" borderId="6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/>
    </xf>
    <xf numFmtId="165" fontId="7" fillId="0" borderId="8" xfId="0" applyNumberFormat="1" applyFont="1" applyFill="1" applyBorder="1" applyAlignment="1">
      <alignment horizontal="center" vertical="top"/>
    </xf>
    <xf numFmtId="165" fontId="7" fillId="0" borderId="4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0" fillId="5" borderId="6" xfId="0" applyNumberFormat="1" applyFont="1" applyFill="1" applyBorder="1" applyAlignment="1">
      <alignment vertical="center" wrapText="1"/>
    </xf>
    <xf numFmtId="4" fontId="0" fillId="5" borderId="5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165" fontId="0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0" fontId="0" fillId="0" borderId="1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5" fillId="24" borderId="2" xfId="0" applyFont="1" applyFill="1" applyBorder="1" applyAlignment="1">
      <alignment horizontal="center" vertical="top" wrapText="1"/>
    </xf>
    <xf numFmtId="0" fontId="6" fillId="24" borderId="6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center" wrapText="1"/>
    </xf>
    <xf numFmtId="4" fontId="5" fillId="13" borderId="1" xfId="0" applyNumberFormat="1" applyFont="1" applyFill="1" applyBorder="1" applyAlignment="1">
      <alignment horizontal="center" vertical="top" wrapText="1"/>
    </xf>
    <xf numFmtId="167" fontId="2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4" fillId="0" borderId="0" xfId="0" applyFont="1" applyAlignment="1">
      <alignment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4" fontId="28" fillId="0" borderId="3" xfId="0" applyNumberFormat="1" applyFont="1" applyFill="1" applyBorder="1" applyAlignment="1">
      <alignment horizontal="left" vertical="center" wrapText="1"/>
    </xf>
    <xf numFmtId="164" fontId="28" fillId="0" borderId="8" xfId="0" applyNumberFormat="1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6" xfId="0" applyFont="1" applyBorder="1" applyAlignment="1">
      <alignment wrapText="1"/>
    </xf>
    <xf numFmtId="0" fontId="16" fillId="0" borderId="5" xfId="0" applyFont="1" applyBorder="1" applyAlignment="1">
      <alignment wrapText="1"/>
    </xf>
    <xf numFmtId="3" fontId="13" fillId="0" borderId="2" xfId="0" applyNumberFormat="1" applyFont="1" applyBorder="1" applyAlignment="1">
      <alignment horizontal="center" vertical="top" wrapText="1"/>
    </xf>
    <xf numFmtId="3" fontId="16" fillId="0" borderId="6" xfId="0" applyNumberFormat="1" applyFont="1" applyBorder="1" applyAlignment="1">
      <alignment wrapText="1"/>
    </xf>
    <xf numFmtId="3" fontId="16" fillId="0" borderId="5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vertical="center" wrapText="1"/>
    </xf>
    <xf numFmtId="0" fontId="27" fillId="5" borderId="5" xfId="0" applyFont="1" applyFill="1" applyBorder="1" applyAlignment="1">
      <alignment vertical="center" wrapText="1"/>
    </xf>
    <xf numFmtId="4" fontId="26" fillId="5" borderId="2" xfId="0" applyNumberFormat="1" applyFont="1" applyFill="1" applyBorder="1" applyAlignment="1">
      <alignment horizontal="center" vertical="center" wrapText="1"/>
    </xf>
    <xf numFmtId="4" fontId="27" fillId="5" borderId="6" xfId="0" applyNumberFormat="1" applyFont="1" applyFill="1" applyBorder="1" applyAlignment="1">
      <alignment vertical="center" wrapText="1"/>
    </xf>
    <xf numFmtId="4" fontId="27" fillId="5" borderId="5" xfId="0" applyNumberFormat="1" applyFont="1" applyFill="1" applyBorder="1" applyAlignment="1">
      <alignment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4" fontId="13" fillId="5" borderId="5" xfId="0" applyNumberFormat="1" applyFont="1" applyFill="1" applyBorder="1" applyAlignment="1">
      <alignment horizontal="center" vertical="center" wrapText="1"/>
    </xf>
    <xf numFmtId="4" fontId="26" fillId="5" borderId="6" xfId="0" applyNumberFormat="1" applyFont="1" applyFill="1" applyBorder="1" applyAlignment="1">
      <alignment horizontal="center" vertical="center" wrapText="1"/>
    </xf>
    <xf numFmtId="4" fontId="26" fillId="5" borderId="5" xfId="0" applyNumberFormat="1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6" fillId="0" borderId="16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0" fillId="0" borderId="0" xfId="0" applyAlignment="1">
      <alignment horizontal="right" wrapText="1"/>
    </xf>
    <xf numFmtId="4" fontId="13" fillId="2" borderId="1" xfId="0" applyNumberFormat="1" applyFont="1" applyFill="1" applyBorder="1" applyAlignment="1">
      <alignment horizontal="center" vertical="top" wrapText="1"/>
    </xf>
    <xf numFmtId="165" fontId="13" fillId="10" borderId="1" xfId="0" applyNumberFormat="1" applyFont="1" applyFill="1" applyBorder="1" applyAlignment="1">
      <alignment horizontal="center" vertical="top" wrapText="1"/>
    </xf>
    <xf numFmtId="164" fontId="14" fillId="0" borderId="12" xfId="0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wrapText="1"/>
    </xf>
    <xf numFmtId="0" fontId="4" fillId="4" borderId="2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164" fontId="14" fillId="0" borderId="1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4" fontId="14" fillId="0" borderId="1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6" fillId="0" borderId="5" xfId="0" applyFont="1" applyBorder="1" applyAlignment="1">
      <alignment vertical="center" wrapText="1"/>
    </xf>
    <xf numFmtId="0" fontId="13" fillId="0" borderId="6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0" fillId="0" borderId="6" xfId="0" applyBorder="1"/>
    <xf numFmtId="0" fontId="0" fillId="0" borderId="5" xfId="0" applyBorder="1"/>
    <xf numFmtId="165" fontId="36" fillId="0" borderId="1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center" textRotation="90" wrapText="1"/>
    </xf>
    <xf numFmtId="165" fontId="10" fillId="0" borderId="8" xfId="0" applyNumberFormat="1" applyFont="1" applyFill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right" wrapText="1"/>
    </xf>
    <xf numFmtId="0" fontId="14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14" fillId="0" borderId="12" xfId="0" applyFont="1" applyFill="1" applyBorder="1" applyAlignment="1">
      <alignment vertical="top" wrapText="1"/>
    </xf>
    <xf numFmtId="4" fontId="7" fillId="11" borderId="1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0" borderId="5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3" xfId="1"/>
    <cellStyle name="Обычный_Высокие технологии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BT57"/>
  <sheetViews>
    <sheetView topLeftCell="K1" zoomScale="70" zoomScaleNormal="70" workbookViewId="0">
      <pane ySplit="9" topLeftCell="A10" activePane="bottomLeft" state="frozen"/>
      <selection pane="bottomLeft" activeCell="T16" sqref="T16"/>
    </sheetView>
  </sheetViews>
  <sheetFormatPr defaultRowHeight="15.75" outlineLevelCol="1"/>
  <cols>
    <col min="1" max="1" width="27.85546875" style="3" customWidth="1"/>
    <col min="2" max="2" width="17" style="3" customWidth="1"/>
    <col min="3" max="3" width="21" style="3" customWidth="1"/>
    <col min="4" max="4" width="9.28515625" style="613" customWidth="1"/>
    <col min="5" max="5" width="15.42578125" style="3" customWidth="1"/>
    <col min="6" max="6" width="13" style="3" customWidth="1"/>
    <col min="7" max="7" width="10.7109375" style="3" customWidth="1"/>
    <col min="8" max="8" width="12.85546875" style="3" customWidth="1"/>
    <col min="9" max="9" width="15.28515625" style="3" customWidth="1"/>
    <col min="10" max="10" width="12" style="3" customWidth="1"/>
    <col min="11" max="11" width="11" style="3" customWidth="1"/>
    <col min="12" max="12" width="9.42578125" style="3" customWidth="1"/>
    <col min="13" max="13" width="11" style="3" customWidth="1"/>
    <col min="14" max="14" width="9" style="3" customWidth="1"/>
    <col min="15" max="15" width="9.5703125" style="3" customWidth="1"/>
    <col min="16" max="16" width="13.28515625" style="3" customWidth="1"/>
    <col min="17" max="17" width="10.85546875" style="3" customWidth="1"/>
    <col min="18" max="18" width="10.7109375" style="3" customWidth="1"/>
    <col min="19" max="19" width="11.42578125" style="3" customWidth="1"/>
    <col min="20" max="20" width="13.5703125" style="3" customWidth="1"/>
    <col min="21" max="21" width="13.7109375" style="3" customWidth="1"/>
    <col min="22" max="22" width="14.28515625" style="17" customWidth="1"/>
    <col min="23" max="23" width="16.140625" style="17" customWidth="1"/>
    <col min="24" max="24" width="14.7109375" style="17" customWidth="1"/>
    <col min="25" max="25" width="14.42578125" style="17" customWidth="1"/>
    <col min="26" max="26" width="14" style="17" customWidth="1"/>
    <col min="27" max="27" width="9.5703125" style="17" customWidth="1"/>
    <col min="28" max="28" width="13.5703125" style="17" customWidth="1"/>
    <col min="29" max="29" width="12.42578125" style="17" customWidth="1"/>
    <col min="30" max="30" width="11.85546875" style="17" customWidth="1"/>
    <col min="31" max="31" width="12.140625" style="17" customWidth="1"/>
    <col min="32" max="32" width="11.140625" style="17" customWidth="1"/>
    <col min="33" max="33" width="10.7109375" style="17" customWidth="1"/>
    <col min="34" max="34" width="12.5703125" style="17" customWidth="1"/>
    <col min="35" max="35" width="12.42578125" style="17" customWidth="1"/>
    <col min="36" max="36" width="12.7109375" style="17" customWidth="1"/>
    <col min="37" max="37" width="12.42578125" style="17" customWidth="1"/>
    <col min="38" max="38" width="13.85546875" style="17" customWidth="1"/>
    <col min="39" max="39" width="12.140625" style="17" customWidth="1"/>
    <col min="40" max="40" width="11" style="17" customWidth="1"/>
    <col min="41" max="41" width="13.5703125" style="17" customWidth="1"/>
    <col min="42" max="42" width="12.5703125" style="17" customWidth="1"/>
    <col min="43" max="43" width="11.5703125" style="17" customWidth="1"/>
    <col min="44" max="44" width="12" style="17" hidden="1" customWidth="1" outlineLevel="1"/>
    <col min="45" max="45" width="19.85546875" style="3" customWidth="1" collapsed="1"/>
    <col min="46" max="46" width="10.7109375" style="17" customWidth="1"/>
    <col min="47" max="47" width="12.5703125" style="17" customWidth="1"/>
    <col min="48" max="48" width="12.42578125" style="17" customWidth="1"/>
    <col min="49" max="49" width="15.28515625" style="17" customWidth="1"/>
    <col min="50" max="50" width="8.42578125" style="17" customWidth="1"/>
    <col min="51" max="52" width="11.140625" style="17" customWidth="1"/>
    <col min="53" max="53" width="14.140625" style="17" customWidth="1"/>
    <col min="54" max="54" width="11.85546875" style="18" customWidth="1"/>
    <col min="55" max="55" width="11.28515625" style="5" hidden="1" customWidth="1" outlineLevel="1"/>
    <col min="56" max="56" width="9.28515625" style="5" hidden="1" customWidth="1" outlineLevel="1"/>
    <col min="57" max="57" width="15" style="5" customWidth="1" collapsed="1"/>
    <col min="58" max="58" width="15.7109375" style="5" customWidth="1"/>
    <col min="59" max="59" width="15.42578125" style="5" customWidth="1"/>
    <col min="60" max="60" width="16" style="5" customWidth="1"/>
    <col min="61" max="61" width="19.140625" style="18" customWidth="1"/>
    <col min="62" max="62" width="9.140625" style="16" hidden="1" customWidth="1" outlineLevel="1"/>
    <col min="63" max="63" width="15.140625" style="16" hidden="1" customWidth="1" outlineLevel="1"/>
    <col min="64" max="64" width="15" style="16" customWidth="1" collapsed="1"/>
    <col min="65" max="65" width="14.7109375" style="3" customWidth="1"/>
    <col min="66" max="66" width="18" style="71" customWidth="1"/>
    <col min="67" max="67" width="17" style="71" customWidth="1"/>
    <col min="68" max="68" width="15.42578125" style="71" customWidth="1"/>
    <col min="69" max="69" width="16.28515625" style="71" customWidth="1"/>
    <col min="70" max="70" width="17.42578125" style="71" customWidth="1"/>
    <col min="71" max="71" width="16.140625" style="71" customWidth="1"/>
    <col min="72" max="72" width="18" style="71" customWidth="1"/>
  </cols>
  <sheetData>
    <row r="1" spans="1:72" ht="20.25" customHeight="1">
      <c r="A1" s="664" t="s">
        <v>417</v>
      </c>
      <c r="B1" s="664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6"/>
      <c r="AT1" s="19"/>
      <c r="AU1" s="19"/>
      <c r="AV1" s="19"/>
      <c r="AW1" s="19"/>
      <c r="AX1" s="19"/>
      <c r="AY1" s="19"/>
      <c r="AZ1" s="686"/>
      <c r="BA1" s="686"/>
      <c r="BB1" s="686"/>
      <c r="BC1" s="686"/>
      <c r="BD1" s="686"/>
      <c r="BE1" s="686"/>
      <c r="BF1" s="686"/>
      <c r="BG1" s="686"/>
      <c r="BH1" s="686"/>
      <c r="BI1" s="686"/>
      <c r="BJ1" s="686"/>
      <c r="BK1" s="686"/>
      <c r="BL1" s="686"/>
      <c r="BM1" s="686"/>
      <c r="BN1" s="686"/>
      <c r="BO1" s="686"/>
      <c r="BP1" s="686"/>
      <c r="BQ1" s="686"/>
      <c r="BR1" s="686"/>
      <c r="BS1" s="686"/>
    </row>
    <row r="2" spans="1:72" ht="21.75" customHeight="1">
      <c r="A2" s="4"/>
      <c r="B2" s="718" t="s">
        <v>250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6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6"/>
      <c r="AT2" s="19"/>
      <c r="AU2" s="19"/>
      <c r="AV2" s="19"/>
      <c r="AW2" s="19"/>
      <c r="AX2" s="19"/>
      <c r="AY2" s="19"/>
      <c r="AZ2" s="19"/>
      <c r="BA2" s="19"/>
      <c r="BM2" s="6"/>
    </row>
    <row r="3" spans="1:72" ht="23.25" customHeight="1">
      <c r="A3" s="4"/>
      <c r="B3" s="720" t="s">
        <v>179</v>
      </c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6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6"/>
      <c r="AT3" s="19"/>
      <c r="AU3" s="19"/>
      <c r="AV3" s="19"/>
      <c r="AW3" s="19"/>
      <c r="AX3" s="19"/>
      <c r="AY3" s="19"/>
      <c r="AZ3" s="19"/>
      <c r="BA3" s="19"/>
      <c r="BM3" s="6"/>
    </row>
    <row r="4" spans="1:72" ht="18" customHeight="1">
      <c r="A4" s="711" t="s">
        <v>0</v>
      </c>
      <c r="B4" s="713" t="s">
        <v>168</v>
      </c>
      <c r="C4" s="713" t="s">
        <v>2</v>
      </c>
      <c r="D4" s="714" t="s">
        <v>1</v>
      </c>
      <c r="E4" s="673" t="s">
        <v>68</v>
      </c>
      <c r="F4" s="722" t="s">
        <v>61</v>
      </c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675" t="s">
        <v>55</v>
      </c>
      <c r="R4" s="724" t="s">
        <v>56</v>
      </c>
      <c r="S4" s="725"/>
      <c r="T4" s="678" t="s">
        <v>54</v>
      </c>
      <c r="U4" s="673" t="s">
        <v>68</v>
      </c>
      <c r="V4" s="682" t="s">
        <v>60</v>
      </c>
      <c r="W4" s="683"/>
      <c r="X4" s="683"/>
      <c r="Y4" s="684"/>
      <c r="Z4" s="684"/>
      <c r="AA4" s="684"/>
      <c r="AB4" s="684"/>
      <c r="AC4" s="684"/>
      <c r="AD4" s="684"/>
      <c r="AE4" s="684"/>
      <c r="AF4" s="684"/>
      <c r="AG4" s="684"/>
      <c r="AH4" s="684"/>
      <c r="AI4" s="684"/>
      <c r="AJ4" s="684"/>
      <c r="AK4" s="684"/>
      <c r="AL4" s="684"/>
      <c r="AM4" s="684"/>
      <c r="AN4" s="684"/>
      <c r="AO4" s="684"/>
      <c r="AP4" s="684"/>
      <c r="AQ4" s="684"/>
      <c r="AR4" s="684"/>
      <c r="AS4" s="684"/>
      <c r="AT4" s="684"/>
      <c r="AU4" s="684"/>
      <c r="AV4" s="684"/>
      <c r="AW4" s="684"/>
      <c r="AX4" s="684"/>
      <c r="AY4" s="684"/>
      <c r="AZ4" s="684"/>
      <c r="BA4" s="684"/>
      <c r="BB4" s="684"/>
      <c r="BC4" s="684"/>
      <c r="BD4" s="684"/>
      <c r="BE4" s="684"/>
      <c r="BF4" s="684"/>
      <c r="BG4" s="684"/>
      <c r="BH4" s="684"/>
      <c r="BI4" s="684"/>
      <c r="BJ4" s="684"/>
      <c r="BK4" s="684"/>
      <c r="BL4" s="685"/>
      <c r="BM4" s="74"/>
      <c r="BN4" s="687"/>
      <c r="BO4" s="687"/>
      <c r="BP4" s="687"/>
      <c r="BQ4" s="687"/>
      <c r="BR4" s="687"/>
      <c r="BS4" s="687"/>
      <c r="BT4" s="687"/>
    </row>
    <row r="5" spans="1:72" s="1" customFormat="1" ht="33" customHeight="1">
      <c r="A5" s="712"/>
      <c r="B5" s="674"/>
      <c r="C5" s="674"/>
      <c r="D5" s="715"/>
      <c r="E5" s="674"/>
      <c r="F5" s="680" t="s">
        <v>59</v>
      </c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74"/>
      <c r="R5" s="726"/>
      <c r="S5" s="727"/>
      <c r="T5" s="679"/>
      <c r="U5" s="674"/>
      <c r="V5" s="676" t="s">
        <v>62</v>
      </c>
      <c r="W5" s="676"/>
      <c r="X5" s="676"/>
      <c r="Y5" s="677"/>
      <c r="Z5" s="688" t="s">
        <v>8</v>
      </c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688"/>
      <c r="AQ5" s="688"/>
      <c r="AR5" s="688"/>
      <c r="AS5" s="673" t="s">
        <v>68</v>
      </c>
      <c r="AT5" s="688" t="s">
        <v>19</v>
      </c>
      <c r="AU5" s="688"/>
      <c r="AV5" s="688"/>
      <c r="AW5" s="688"/>
      <c r="AX5" s="688"/>
      <c r="AY5" s="688"/>
      <c r="AZ5" s="688"/>
      <c r="BA5" s="676" t="s">
        <v>19</v>
      </c>
      <c r="BB5" s="676"/>
      <c r="BC5" s="676"/>
      <c r="BD5" s="676"/>
      <c r="BE5" s="676"/>
      <c r="BF5" s="676" t="s">
        <v>20</v>
      </c>
      <c r="BG5" s="676" t="s">
        <v>100</v>
      </c>
      <c r="BH5" s="676" t="s">
        <v>13</v>
      </c>
      <c r="BI5" s="676" t="s">
        <v>22</v>
      </c>
      <c r="BJ5" s="704" t="s">
        <v>23</v>
      </c>
      <c r="BK5" s="704" t="s">
        <v>24</v>
      </c>
      <c r="BL5" s="703" t="s">
        <v>25</v>
      </c>
      <c r="BM5" s="689" t="s">
        <v>68</v>
      </c>
      <c r="BN5" s="687" t="s">
        <v>129</v>
      </c>
      <c r="BO5" s="687"/>
      <c r="BP5" s="687"/>
      <c r="BQ5" s="687"/>
      <c r="BR5" s="687"/>
      <c r="BS5" s="687"/>
      <c r="BT5" s="687"/>
    </row>
    <row r="6" spans="1:72" s="2" customFormat="1" ht="46.5" customHeight="1">
      <c r="A6" s="712"/>
      <c r="B6" s="674"/>
      <c r="C6" s="674"/>
      <c r="D6" s="715"/>
      <c r="E6" s="674"/>
      <c r="F6" s="680" t="s">
        <v>53</v>
      </c>
      <c r="G6" s="681"/>
      <c r="H6" s="681"/>
      <c r="I6" s="680" t="s">
        <v>27</v>
      </c>
      <c r="J6" s="680" t="s">
        <v>10</v>
      </c>
      <c r="K6" s="680" t="s">
        <v>5</v>
      </c>
      <c r="L6" s="680" t="s">
        <v>51</v>
      </c>
      <c r="M6" s="680" t="s">
        <v>136</v>
      </c>
      <c r="N6" s="680" t="s">
        <v>125</v>
      </c>
      <c r="O6" s="680" t="s">
        <v>13</v>
      </c>
      <c r="P6" s="680" t="s">
        <v>21</v>
      </c>
      <c r="Q6" s="674"/>
      <c r="R6" s="680" t="s">
        <v>16</v>
      </c>
      <c r="S6" s="680" t="s">
        <v>52</v>
      </c>
      <c r="T6" s="679"/>
      <c r="U6" s="674"/>
      <c r="V6" s="676" t="s">
        <v>66</v>
      </c>
      <c r="W6" s="677"/>
      <c r="X6" s="677"/>
      <c r="Y6" s="677"/>
      <c r="Z6" s="676" t="s">
        <v>63</v>
      </c>
      <c r="AA6" s="676"/>
      <c r="AB6" s="676"/>
      <c r="AC6" s="676"/>
      <c r="AD6" s="692">
        <v>340</v>
      </c>
      <c r="AE6" s="692"/>
      <c r="AF6" s="692"/>
      <c r="AG6" s="692"/>
      <c r="AH6" s="692"/>
      <c r="AI6" s="692"/>
      <c r="AJ6" s="692"/>
      <c r="AK6" s="692"/>
      <c r="AL6" s="692"/>
      <c r="AM6" s="676" t="s">
        <v>4</v>
      </c>
      <c r="AN6" s="676"/>
      <c r="AO6" s="676"/>
      <c r="AP6" s="676"/>
      <c r="AQ6" s="676"/>
      <c r="AR6" s="676"/>
      <c r="AS6" s="674"/>
      <c r="AT6" s="676" t="s">
        <v>5</v>
      </c>
      <c r="AU6" s="676"/>
      <c r="AV6" s="676"/>
      <c r="AW6" s="676"/>
      <c r="AX6" s="676"/>
      <c r="AY6" s="676"/>
      <c r="AZ6" s="676"/>
      <c r="BA6" s="676" t="s">
        <v>6</v>
      </c>
      <c r="BB6" s="717"/>
      <c r="BC6" s="677"/>
      <c r="BD6" s="677"/>
      <c r="BE6" s="676">
        <v>290</v>
      </c>
      <c r="BF6" s="676"/>
      <c r="BG6" s="676"/>
      <c r="BH6" s="676"/>
      <c r="BI6" s="676"/>
      <c r="BJ6" s="704"/>
      <c r="BK6" s="704"/>
      <c r="BL6" s="703"/>
      <c r="BM6" s="690"/>
      <c r="BN6" s="691">
        <v>2110</v>
      </c>
      <c r="BO6" s="691">
        <v>2130</v>
      </c>
      <c r="BP6" s="691">
        <v>2230</v>
      </c>
      <c r="BQ6" s="691">
        <v>7500</v>
      </c>
      <c r="BR6" s="691">
        <v>7520</v>
      </c>
      <c r="BS6" s="691">
        <v>7660</v>
      </c>
      <c r="BT6" s="691" t="s">
        <v>130</v>
      </c>
    </row>
    <row r="7" spans="1:72" s="2" customFormat="1" ht="30" customHeight="1">
      <c r="A7" s="712"/>
      <c r="B7" s="674"/>
      <c r="C7" s="674"/>
      <c r="D7" s="715"/>
      <c r="E7" s="674"/>
      <c r="F7" s="680" t="s">
        <v>26</v>
      </c>
      <c r="G7" s="680"/>
      <c r="H7" s="680"/>
      <c r="I7" s="681"/>
      <c r="J7" s="681"/>
      <c r="K7" s="681"/>
      <c r="L7" s="681"/>
      <c r="M7" s="681"/>
      <c r="N7" s="681"/>
      <c r="O7" s="681"/>
      <c r="P7" s="681"/>
      <c r="Q7" s="674"/>
      <c r="R7" s="681"/>
      <c r="S7" s="681"/>
      <c r="T7" s="679"/>
      <c r="U7" s="674"/>
      <c r="V7" s="676" t="s">
        <v>3</v>
      </c>
      <c r="W7" s="676" t="s">
        <v>64</v>
      </c>
      <c r="X7" s="676" t="s">
        <v>12</v>
      </c>
      <c r="Y7" s="676" t="s">
        <v>65</v>
      </c>
      <c r="Z7" s="676" t="s">
        <v>16</v>
      </c>
      <c r="AA7" s="676"/>
      <c r="AB7" s="676"/>
      <c r="AC7" s="676"/>
      <c r="AD7" s="676" t="s">
        <v>27</v>
      </c>
      <c r="AE7" s="676"/>
      <c r="AF7" s="676"/>
      <c r="AG7" s="676"/>
      <c r="AH7" s="676"/>
      <c r="AI7" s="676"/>
      <c r="AJ7" s="676"/>
      <c r="AK7" s="676"/>
      <c r="AL7" s="676"/>
      <c r="AM7" s="676" t="s">
        <v>10</v>
      </c>
      <c r="AN7" s="676"/>
      <c r="AO7" s="676"/>
      <c r="AP7" s="676"/>
      <c r="AQ7" s="676"/>
      <c r="AR7" s="676"/>
      <c r="AS7" s="674"/>
      <c r="AT7" s="692">
        <v>225</v>
      </c>
      <c r="AU7" s="692"/>
      <c r="AV7" s="692"/>
      <c r="AW7" s="692"/>
      <c r="AX7" s="692"/>
      <c r="AY7" s="47">
        <v>290</v>
      </c>
      <c r="AZ7" s="47">
        <v>224</v>
      </c>
      <c r="BA7" s="20" t="s">
        <v>4</v>
      </c>
      <c r="BB7" s="20" t="s">
        <v>4</v>
      </c>
      <c r="BC7" s="676" t="s">
        <v>4</v>
      </c>
      <c r="BD7" s="676"/>
      <c r="BE7" s="676"/>
      <c r="BF7" s="676"/>
      <c r="BG7" s="676"/>
      <c r="BH7" s="676"/>
      <c r="BI7" s="676"/>
      <c r="BJ7" s="704"/>
      <c r="BK7" s="704"/>
      <c r="BL7" s="703"/>
      <c r="BM7" s="690"/>
      <c r="BN7" s="691"/>
      <c r="BO7" s="691"/>
      <c r="BP7" s="691"/>
      <c r="BQ7" s="691"/>
      <c r="BR7" s="691"/>
      <c r="BS7" s="691"/>
      <c r="BT7" s="691"/>
    </row>
    <row r="8" spans="1:72" s="2" customFormat="1" ht="36.75" customHeight="1">
      <c r="A8" s="712"/>
      <c r="B8" s="674"/>
      <c r="C8" s="674"/>
      <c r="D8" s="715"/>
      <c r="E8" s="674"/>
      <c r="F8" s="680" t="s">
        <v>3</v>
      </c>
      <c r="G8" s="680" t="s">
        <v>12</v>
      </c>
      <c r="H8" s="680" t="s">
        <v>11</v>
      </c>
      <c r="I8" s="681"/>
      <c r="J8" s="681"/>
      <c r="K8" s="681"/>
      <c r="L8" s="681"/>
      <c r="M8" s="681"/>
      <c r="N8" s="681"/>
      <c r="O8" s="681"/>
      <c r="P8" s="681"/>
      <c r="Q8" s="674"/>
      <c r="R8" s="681"/>
      <c r="S8" s="681"/>
      <c r="T8" s="679"/>
      <c r="U8" s="674"/>
      <c r="V8" s="677"/>
      <c r="W8" s="677"/>
      <c r="X8" s="677"/>
      <c r="Y8" s="677"/>
      <c r="Z8" s="676"/>
      <c r="AA8" s="676"/>
      <c r="AB8" s="676"/>
      <c r="AC8" s="676"/>
      <c r="AD8" s="676"/>
      <c r="AE8" s="676"/>
      <c r="AF8" s="676"/>
      <c r="AG8" s="676"/>
      <c r="AH8" s="676"/>
      <c r="AI8" s="676"/>
      <c r="AJ8" s="676"/>
      <c r="AK8" s="676"/>
      <c r="AL8" s="676"/>
      <c r="AM8" s="676"/>
      <c r="AN8" s="676"/>
      <c r="AO8" s="676"/>
      <c r="AP8" s="676"/>
      <c r="AQ8" s="676"/>
      <c r="AR8" s="676"/>
      <c r="AS8" s="674"/>
      <c r="AT8" s="676" t="s">
        <v>28</v>
      </c>
      <c r="AU8" s="676" t="s">
        <v>29</v>
      </c>
      <c r="AV8" s="676" t="s">
        <v>119</v>
      </c>
      <c r="AW8" s="676"/>
      <c r="AX8" s="676"/>
      <c r="AY8" s="676" t="s">
        <v>31</v>
      </c>
      <c r="AZ8" s="676" t="s">
        <v>124</v>
      </c>
      <c r="BA8" s="676" t="s">
        <v>355</v>
      </c>
      <c r="BB8" s="676" t="s">
        <v>332</v>
      </c>
      <c r="BC8" s="693" t="s">
        <v>34</v>
      </c>
      <c r="BD8" s="694"/>
      <c r="BE8" s="676" t="s">
        <v>126</v>
      </c>
      <c r="BF8" s="676"/>
      <c r="BG8" s="676"/>
      <c r="BH8" s="676"/>
      <c r="BI8" s="676"/>
      <c r="BJ8" s="704"/>
      <c r="BK8" s="704"/>
      <c r="BL8" s="703"/>
      <c r="BM8" s="690"/>
      <c r="BN8" s="691"/>
      <c r="BO8" s="691"/>
      <c r="BP8" s="691"/>
      <c r="BQ8" s="691"/>
      <c r="BR8" s="691"/>
      <c r="BS8" s="691"/>
      <c r="BT8" s="691"/>
    </row>
    <row r="9" spans="1:72" s="2" customFormat="1" ht="73.5" customHeight="1">
      <c r="A9" s="712"/>
      <c r="B9" s="716"/>
      <c r="C9" s="674"/>
      <c r="D9" s="715"/>
      <c r="E9" s="674"/>
      <c r="F9" s="680"/>
      <c r="G9" s="680"/>
      <c r="H9" s="680"/>
      <c r="I9" s="681"/>
      <c r="J9" s="681"/>
      <c r="K9" s="681"/>
      <c r="L9" s="681"/>
      <c r="M9" s="681"/>
      <c r="N9" s="681"/>
      <c r="O9" s="681"/>
      <c r="P9" s="681"/>
      <c r="Q9" s="674"/>
      <c r="R9" s="681"/>
      <c r="S9" s="681"/>
      <c r="T9" s="679"/>
      <c r="U9" s="674"/>
      <c r="V9" s="677"/>
      <c r="W9" s="677"/>
      <c r="X9" s="677"/>
      <c r="Y9" s="677"/>
      <c r="Z9" s="20" t="s">
        <v>9</v>
      </c>
      <c r="AA9" s="20" t="s">
        <v>98</v>
      </c>
      <c r="AB9" s="20" t="s">
        <v>17</v>
      </c>
      <c r="AC9" s="20" t="s">
        <v>18</v>
      </c>
      <c r="AD9" s="20" t="s">
        <v>36</v>
      </c>
      <c r="AE9" s="20" t="s">
        <v>37</v>
      </c>
      <c r="AF9" s="20" t="s">
        <v>38</v>
      </c>
      <c r="AG9" s="20" t="s">
        <v>39</v>
      </c>
      <c r="AH9" s="20" t="s">
        <v>40</v>
      </c>
      <c r="AI9" s="20" t="s">
        <v>14</v>
      </c>
      <c r="AJ9" s="20" t="s">
        <v>41</v>
      </c>
      <c r="AK9" s="20" t="s">
        <v>15</v>
      </c>
      <c r="AL9" s="20" t="s">
        <v>42</v>
      </c>
      <c r="AM9" s="20" t="s">
        <v>43</v>
      </c>
      <c r="AN9" s="20" t="s">
        <v>44</v>
      </c>
      <c r="AO9" s="20" t="s">
        <v>45</v>
      </c>
      <c r="AP9" s="20" t="s">
        <v>331</v>
      </c>
      <c r="AQ9" s="20" t="s">
        <v>46</v>
      </c>
      <c r="AR9" s="20" t="s">
        <v>47</v>
      </c>
      <c r="AS9" s="674"/>
      <c r="AT9" s="676"/>
      <c r="AU9" s="676"/>
      <c r="AV9" s="20" t="s">
        <v>48</v>
      </c>
      <c r="AW9" s="20" t="s">
        <v>49</v>
      </c>
      <c r="AX9" s="20" t="s">
        <v>50</v>
      </c>
      <c r="AY9" s="676"/>
      <c r="AZ9" s="676"/>
      <c r="BA9" s="676"/>
      <c r="BB9" s="676"/>
      <c r="BC9" s="20"/>
      <c r="BD9" s="20"/>
      <c r="BE9" s="676"/>
      <c r="BF9" s="676"/>
      <c r="BG9" s="676"/>
      <c r="BH9" s="676"/>
      <c r="BI9" s="676"/>
      <c r="BJ9" s="704"/>
      <c r="BK9" s="704"/>
      <c r="BL9" s="703"/>
      <c r="BM9" s="690"/>
      <c r="BN9" s="691"/>
      <c r="BO9" s="691"/>
      <c r="BP9" s="691"/>
      <c r="BQ9" s="691"/>
      <c r="BR9" s="691"/>
      <c r="BS9" s="691"/>
      <c r="BT9" s="691"/>
    </row>
    <row r="10" spans="1:72" ht="33.75" customHeight="1">
      <c r="A10" s="648" t="s">
        <v>178</v>
      </c>
      <c r="B10" s="648" t="s">
        <v>173</v>
      </c>
      <c r="C10" s="9" t="s">
        <v>172</v>
      </c>
      <c r="D10" s="614">
        <v>3951</v>
      </c>
      <c r="E10" s="667" t="s">
        <v>132</v>
      </c>
      <c r="F10" s="205">
        <f>ROUND((V10+W10)/D10,3)</f>
        <v>42499.057000000001</v>
      </c>
      <c r="G10" s="205">
        <f>ROUND((X10+Y10)/D10,3)</f>
        <v>9862.5439999999999</v>
      </c>
      <c r="H10" s="205">
        <f>F10+G10</f>
        <v>52361.601000000002</v>
      </c>
      <c r="I10" s="205">
        <f>ROUND((AL10-AK10)/D10,3)</f>
        <v>382.13</v>
      </c>
      <c r="J10" s="205">
        <f>ROUND((AM10+AN10+AO10+AQ10+AR10+AP10)/D10,3)</f>
        <v>1173.107</v>
      </c>
      <c r="K10" s="205">
        <f>ROUND((AT10+AU10+AV10+AW10+AX10)/D10,3)</f>
        <v>672.44</v>
      </c>
      <c r="L10" s="205">
        <f>ROUND((BA10+BB10)/D10,3)</f>
        <v>358.31299999999999</v>
      </c>
      <c r="M10" s="213">
        <f>ROUND(BF10/D10,3)</f>
        <v>8104.2240000000002</v>
      </c>
      <c r="N10" s="213">
        <f>BG10/D10</f>
        <v>63.367754998734497</v>
      </c>
      <c r="O10" s="37">
        <f>ROUND(BH10/D10,3)</f>
        <v>3678.1819999999998</v>
      </c>
      <c r="P10" s="213">
        <f>ROUND(AK10/D10,3)</f>
        <v>540.87599999999998</v>
      </c>
      <c r="Q10" s="205">
        <f>P10+O10+M10+L10+K10+J10+I10+H10+N10</f>
        <v>67334.24075499874</v>
      </c>
      <c r="R10" s="205">
        <f>ROUND((Z10+AB10+AC10)/D10,3)</f>
        <v>3415.7460000000001</v>
      </c>
      <c r="S10" s="205">
        <f>ROUND((AY10+BE10)/D10,3)</f>
        <v>22.02</v>
      </c>
      <c r="T10" s="24">
        <f>Q10+R10+S10</f>
        <v>70772.006754998743</v>
      </c>
      <c r="U10" s="667" t="s">
        <v>132</v>
      </c>
      <c r="V10" s="321">
        <f>124720096+300000</f>
        <v>125020096</v>
      </c>
      <c r="W10" s="321">
        <v>42893678.009999998</v>
      </c>
      <c r="X10" s="321">
        <f>30049713.38+256146-77355-300000</f>
        <v>29928504.379999999</v>
      </c>
      <c r="Y10" s="321">
        <f>ROUND(X10*0.302,0)</f>
        <v>9038408</v>
      </c>
      <c r="Z10" s="15">
        <v>7919527</v>
      </c>
      <c r="AA10" s="15"/>
      <c r="AB10" s="15">
        <v>3158881</v>
      </c>
      <c r="AC10" s="15">
        <v>2417206</v>
      </c>
      <c r="AD10" s="321">
        <v>359509</v>
      </c>
      <c r="AE10" s="15">
        <v>240000</v>
      </c>
      <c r="AF10" s="15">
        <v>14487</v>
      </c>
      <c r="AG10" s="15">
        <v>100000</v>
      </c>
      <c r="AH10" s="15">
        <v>200000</v>
      </c>
      <c r="AI10" s="15">
        <v>400000</v>
      </c>
      <c r="AJ10" s="15">
        <f>195800</f>
        <v>195800</v>
      </c>
      <c r="AK10" s="15">
        <f>1987000+150000</f>
        <v>2137000</v>
      </c>
      <c r="AL10" s="15">
        <f>AD10+AE10+AF10+AG10+AH10+AI10+AK10+AJ10</f>
        <v>3646796</v>
      </c>
      <c r="AM10" s="321">
        <v>529580</v>
      </c>
      <c r="AN10" s="321"/>
      <c r="AO10" s="321">
        <v>1706240</v>
      </c>
      <c r="AP10" s="321">
        <f>2300500+50000</f>
        <v>2350500</v>
      </c>
      <c r="AQ10" s="321">
        <f>47397+1229.31</f>
        <v>48626.31</v>
      </c>
      <c r="AR10" s="342"/>
      <c r="AS10" s="695" t="s">
        <v>132</v>
      </c>
      <c r="AT10" s="321">
        <v>22600</v>
      </c>
      <c r="AU10" s="321">
        <v>114000</v>
      </c>
      <c r="AV10" s="321">
        <f>423535+15523</f>
        <v>439058</v>
      </c>
      <c r="AW10" s="321">
        <v>2081152</v>
      </c>
      <c r="AX10" s="321"/>
      <c r="AY10" s="321"/>
      <c r="AZ10" s="321"/>
      <c r="BA10" s="321">
        <v>1392309</v>
      </c>
      <c r="BB10" s="321">
        <v>23387.48</v>
      </c>
      <c r="BC10" s="321"/>
      <c r="BD10" s="321"/>
      <c r="BE10" s="321">
        <v>87001</v>
      </c>
      <c r="BF10" s="321">
        <v>32019787.23</v>
      </c>
      <c r="BG10" s="15">
        <v>250366</v>
      </c>
      <c r="BH10" s="15">
        <v>14532497</v>
      </c>
      <c r="BI10" s="205">
        <f>V10+W10+X10+Y10+Z10+AB10+AC10+AL10+AM10+AN10+AO10+AQ10+AT10+AU10+AV10+AW10+AX10+AY10+AZ10+BA10+BB10+BC10+BD10+BE10+BF10+BH10+BG10+AP10</f>
        <v>279620200.40999997</v>
      </c>
      <c r="BJ10" s="15"/>
      <c r="BK10" s="15"/>
      <c r="BL10" s="206">
        <f>ROUND(BI10/D10,3)</f>
        <v>70772.006999999998</v>
      </c>
      <c r="BM10" s="707" t="s">
        <v>132</v>
      </c>
      <c r="BN10" s="81">
        <f>V10+X10</f>
        <v>154948600.38</v>
      </c>
      <c r="BO10" s="81">
        <f>W10+Y10</f>
        <v>51932086.009999998</v>
      </c>
      <c r="BP10" s="81">
        <f>Z10+AB10+AC10</f>
        <v>13495614</v>
      </c>
      <c r="BQ10" s="81">
        <f t="shared" ref="BQ10:BQ15" si="0">BH10</f>
        <v>14532497</v>
      </c>
      <c r="BR10" s="81">
        <f t="shared" ref="BR10:BR15" si="1">BF10+BG10</f>
        <v>32270153.23</v>
      </c>
      <c r="BS10" s="81">
        <f>AD10+AE10+AF10+AG10+AH10+AI10+AJ10+AK10+AM10+AN10+AO10+AQ10+AR10+AT10+AU10+AV10+AW10+AX10+AY10+AZ10+BA10+BB10+BC10+BD10+BE10+AP10</f>
        <v>12441249.789999999</v>
      </c>
      <c r="BT10" s="58">
        <f>BN10+BO10+BP10+BQ10+BS10+BR10</f>
        <v>279620200.40999997</v>
      </c>
    </row>
    <row r="11" spans="1:72" ht="20.25" customHeight="1">
      <c r="A11" s="660"/>
      <c r="B11" s="649"/>
      <c r="C11" s="9" t="s">
        <v>112</v>
      </c>
      <c r="D11" s="614">
        <f>338924-D13-D15</f>
        <v>323969</v>
      </c>
      <c r="E11" s="668"/>
      <c r="F11" s="15"/>
      <c r="G11" s="15"/>
      <c r="H11" s="15"/>
      <c r="I11" s="15"/>
      <c r="J11" s="15"/>
      <c r="K11" s="15"/>
      <c r="L11" s="15"/>
      <c r="M11" s="213">
        <f t="shared" ref="M11:M17" si="2">ROUND(BF11/D11,2)</f>
        <v>100.39</v>
      </c>
      <c r="N11" s="213"/>
      <c r="O11" s="213">
        <f t="shared" ref="O11:O18" si="3">ROUND(BH11/D11,2)</f>
        <v>44.86</v>
      </c>
      <c r="P11" s="37"/>
      <c r="Q11" s="15"/>
      <c r="R11" s="15"/>
      <c r="S11" s="15"/>
      <c r="T11" s="7"/>
      <c r="U11" s="668"/>
      <c r="V11" s="321"/>
      <c r="W11" s="321"/>
      <c r="X11" s="321"/>
      <c r="Y11" s="15"/>
      <c r="Z11" s="15"/>
      <c r="AA11" s="15"/>
      <c r="AB11" s="15"/>
      <c r="AC11" s="15"/>
      <c r="AD11" s="321"/>
      <c r="AE11" s="15"/>
      <c r="AF11" s="15"/>
      <c r="AG11" s="15"/>
      <c r="AH11" s="15"/>
      <c r="AI11" s="15"/>
      <c r="AJ11" s="15"/>
      <c r="AK11" s="15"/>
      <c r="AL11" s="15"/>
      <c r="AM11" s="321"/>
      <c r="AN11" s="321"/>
      <c r="AO11" s="321"/>
      <c r="AP11" s="321"/>
      <c r="AQ11" s="321"/>
      <c r="AR11" s="343"/>
      <c r="AS11" s="696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>
        <f>32271279+251491.77</f>
        <v>32522770.77</v>
      </c>
      <c r="BG11" s="15"/>
      <c r="BH11" s="15">
        <v>14532497</v>
      </c>
      <c r="BI11" s="205"/>
      <c r="BJ11" s="15"/>
      <c r="BK11" s="15"/>
      <c r="BL11" s="206"/>
      <c r="BM11" s="708"/>
      <c r="BN11" s="81"/>
      <c r="BO11" s="81"/>
      <c r="BP11" s="81"/>
      <c r="BQ11" s="81">
        <f t="shared" si="0"/>
        <v>14532497</v>
      </c>
      <c r="BR11" s="81">
        <f t="shared" si="1"/>
        <v>32522770.77</v>
      </c>
      <c r="BS11" s="81"/>
      <c r="BT11" s="58"/>
    </row>
    <row r="12" spans="1:72" ht="34.5" customHeight="1">
      <c r="A12" s="660"/>
      <c r="B12" s="648" t="s">
        <v>169</v>
      </c>
      <c r="C12" s="9" t="s">
        <v>172</v>
      </c>
      <c r="D12" s="614">
        <v>80</v>
      </c>
      <c r="E12" s="669"/>
      <c r="F12" s="205">
        <f>ROUND((V12+W12)/D12,3)</f>
        <v>44150.887999999999</v>
      </c>
      <c r="G12" s="205">
        <f>ROUND((X12+Y12)/D12,3)</f>
        <v>10525.95</v>
      </c>
      <c r="H12" s="205">
        <f>F12+G12</f>
        <v>54676.838000000003</v>
      </c>
      <c r="I12" s="205">
        <f>ROUND((AL12-AK12)/D12,3)</f>
        <v>334.58800000000002</v>
      </c>
      <c r="J12" s="205">
        <f>ROUND((AM12+AN12+AO12+AQ12+AR12+AP12)/D12,3)</f>
        <v>1347.54</v>
      </c>
      <c r="K12" s="205">
        <f>ROUND((AT12+AU12+AV12+AW12+AX12)/D12,3)</f>
        <v>385.67500000000001</v>
      </c>
      <c r="L12" s="205">
        <f>ROUND((BA12+BB12)/D12,3)</f>
        <v>452.76299999999998</v>
      </c>
      <c r="M12" s="213">
        <f>ROUND(BF12/D12,3)</f>
        <v>9382.9249999999993</v>
      </c>
      <c r="N12" s="213">
        <f>BG12/D12</f>
        <v>0</v>
      </c>
      <c r="O12" s="37">
        <f>ROUND(BH12/D12,3)</f>
        <v>5047.2129999999997</v>
      </c>
      <c r="P12" s="213">
        <f>ROUND(AK12/D12,2)</f>
        <v>1150</v>
      </c>
      <c r="Q12" s="205">
        <f>P12+O12+M12+L12+K12+J12+I12+H12+N12</f>
        <v>72777.542000000001</v>
      </c>
      <c r="R12" s="205">
        <f>ROUND((Z12+AB12+AC12)/D12,2)</f>
        <v>3991.4</v>
      </c>
      <c r="S12" s="205">
        <f>ROUND((AY12+BE12)/D12,2)</f>
        <v>23.04</v>
      </c>
      <c r="T12" s="24">
        <f>Q12+R12+S12</f>
        <v>76791.981999999989</v>
      </c>
      <c r="U12" s="669"/>
      <c r="V12" s="321">
        <v>2629614</v>
      </c>
      <c r="W12" s="321">
        <v>902457</v>
      </c>
      <c r="X12" s="321">
        <v>646756</v>
      </c>
      <c r="Y12" s="321">
        <f>ROUND(X12*0.302,0)</f>
        <v>195320</v>
      </c>
      <c r="Z12" s="15">
        <v>164425</v>
      </c>
      <c r="AA12" s="15"/>
      <c r="AB12" s="15">
        <v>91085</v>
      </c>
      <c r="AC12" s="15">
        <v>63802</v>
      </c>
      <c r="AD12" s="321">
        <v>16267</v>
      </c>
      <c r="AE12" s="15"/>
      <c r="AF12" s="15"/>
      <c r="AG12" s="15"/>
      <c r="AH12" s="15"/>
      <c r="AI12" s="15">
        <v>10500</v>
      </c>
      <c r="AJ12" s="15"/>
      <c r="AK12" s="15">
        <v>92000</v>
      </c>
      <c r="AL12" s="15">
        <f>AD12+AE12+AF12+AG12+AH12+AI12+AK12+AJ12</f>
        <v>118767</v>
      </c>
      <c r="AM12" s="321">
        <v>8509</v>
      </c>
      <c r="AN12" s="321"/>
      <c r="AO12" s="321">
        <v>11794.17</v>
      </c>
      <c r="AP12" s="321">
        <v>87500</v>
      </c>
      <c r="AQ12" s="321"/>
      <c r="AR12" s="343"/>
      <c r="AS12" s="697"/>
      <c r="AT12" s="321"/>
      <c r="AU12" s="321"/>
      <c r="AV12" s="321">
        <v>14654</v>
      </c>
      <c r="AW12" s="321">
        <v>16200</v>
      </c>
      <c r="AX12" s="321"/>
      <c r="AY12" s="321"/>
      <c r="AZ12" s="321"/>
      <c r="BA12" s="321">
        <v>36221</v>
      </c>
      <c r="BB12" s="321"/>
      <c r="BC12" s="321"/>
      <c r="BD12" s="321"/>
      <c r="BE12" s="321">
        <v>1843</v>
      </c>
      <c r="BF12" s="321">
        <v>750634</v>
      </c>
      <c r="BG12" s="15"/>
      <c r="BH12" s="15">
        <v>403777</v>
      </c>
      <c r="BI12" s="205">
        <f>V12+W12+X12+Y12+Z12+AB12+AC12+AL12+AM12+AN12+AO12+AQ12+AT12+AU12+AV12+AW12+AX12+AY12+AZ12+BA12+BB12+BC12+BD12+BE12+BF12+BH12+BG12+AP12</f>
        <v>6143358.1699999999</v>
      </c>
      <c r="BJ12" s="15"/>
      <c r="BK12" s="15"/>
      <c r="BL12" s="206">
        <f>ROUND(BI12/D12,3)</f>
        <v>76791.976999999999</v>
      </c>
      <c r="BM12" s="709"/>
      <c r="BN12" s="81">
        <f>V12+X12</f>
        <v>3276370</v>
      </c>
      <c r="BO12" s="81">
        <f>W12+Y12</f>
        <v>1097777</v>
      </c>
      <c r="BP12" s="81">
        <f>Z12+AB12+AC12</f>
        <v>319312</v>
      </c>
      <c r="BQ12" s="81">
        <f t="shared" si="0"/>
        <v>403777</v>
      </c>
      <c r="BR12" s="81">
        <f t="shared" si="1"/>
        <v>750634</v>
      </c>
      <c r="BS12" s="81">
        <f>AD12+AE12+AF12+AG12+AH12+AI12+AJ12+AK12+AM12+AN12+AO12+AQ12+AR12+AT12+AU12+AV12+AW12+AX12+AY12+AZ12+BA12+BB12+BC12+BD12+BE12+AP12</f>
        <v>295488.17000000004</v>
      </c>
      <c r="BT12" s="58">
        <f>BN12+BO12+BP12+BQ12+BS12+BR12</f>
        <v>6143358.1699999999</v>
      </c>
    </row>
    <row r="13" spans="1:72" ht="21" customHeight="1">
      <c r="A13" s="660"/>
      <c r="B13" s="649"/>
      <c r="C13" s="9" t="s">
        <v>112</v>
      </c>
      <c r="D13" s="614">
        <v>6752</v>
      </c>
      <c r="E13" s="669"/>
      <c r="F13" s="15"/>
      <c r="G13" s="15"/>
      <c r="H13" s="15"/>
      <c r="I13" s="15"/>
      <c r="J13" s="15"/>
      <c r="K13" s="15"/>
      <c r="L13" s="15"/>
      <c r="M13" s="213">
        <f t="shared" si="2"/>
        <v>111.17</v>
      </c>
      <c r="N13" s="213"/>
      <c r="O13" s="213">
        <f t="shared" si="3"/>
        <v>59.8</v>
      </c>
      <c r="P13" s="37"/>
      <c r="Q13" s="15"/>
      <c r="R13" s="15"/>
      <c r="S13" s="15"/>
      <c r="T13" s="7"/>
      <c r="U13" s="669"/>
      <c r="V13" s="321"/>
      <c r="W13" s="321"/>
      <c r="X13" s="321"/>
      <c r="Y13" s="15"/>
      <c r="Z13" s="15"/>
      <c r="AA13" s="15"/>
      <c r="AB13" s="15"/>
      <c r="AC13" s="15"/>
      <c r="AD13" s="321"/>
      <c r="AE13" s="15"/>
      <c r="AF13" s="15"/>
      <c r="AG13" s="15"/>
      <c r="AH13" s="15"/>
      <c r="AI13" s="15"/>
      <c r="AJ13" s="15"/>
      <c r="AK13" s="15"/>
      <c r="AL13" s="15"/>
      <c r="AM13" s="321"/>
      <c r="AN13" s="321"/>
      <c r="AO13" s="321"/>
      <c r="AP13" s="321"/>
      <c r="AQ13" s="321"/>
      <c r="AR13" s="343"/>
      <c r="AS13" s="697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>
        <v>750634</v>
      </c>
      <c r="BG13" s="15"/>
      <c r="BH13" s="15">
        <v>403777</v>
      </c>
      <c r="BI13" s="205"/>
      <c r="BJ13" s="15"/>
      <c r="BK13" s="15"/>
      <c r="BL13" s="206"/>
      <c r="BM13" s="709"/>
      <c r="BN13" s="81"/>
      <c r="BO13" s="81"/>
      <c r="BP13" s="81"/>
      <c r="BQ13" s="81">
        <f t="shared" si="0"/>
        <v>403777</v>
      </c>
      <c r="BR13" s="81">
        <f t="shared" si="1"/>
        <v>750634</v>
      </c>
      <c r="BS13" s="81"/>
      <c r="BT13" s="58"/>
    </row>
    <row r="14" spans="1:72" ht="30.75" customHeight="1">
      <c r="A14" s="660"/>
      <c r="B14" s="648" t="s">
        <v>174</v>
      </c>
      <c r="C14" s="9" t="s">
        <v>172</v>
      </c>
      <c r="D14" s="614">
        <v>98</v>
      </c>
      <c r="E14" s="669"/>
      <c r="F14" s="205">
        <f>ROUND((V14+W14)/D14,3)</f>
        <v>52574.142999999996</v>
      </c>
      <c r="G14" s="205">
        <f>ROUND((X14+Y14)/D14,3)</f>
        <v>10764.326999999999</v>
      </c>
      <c r="H14" s="205">
        <f>F14+G14</f>
        <v>63338.469999999994</v>
      </c>
      <c r="I14" s="205">
        <f>ROUND((AL14-AK14)/D14,3)</f>
        <v>312.01</v>
      </c>
      <c r="J14" s="205">
        <f>ROUND((AM14+AN14+AO14+AQ14+AR14+AP14)/D14,3)</f>
        <v>1332.7560000000001</v>
      </c>
      <c r="K14" s="205">
        <f>ROUND((AT14+AU14+AV14+AW14+AX14)/D14,3)</f>
        <v>251.53100000000001</v>
      </c>
      <c r="L14" s="205">
        <f>ROUND((BA14+BB14)/D14,3)</f>
        <v>175.184</v>
      </c>
      <c r="M14" s="213">
        <f t="shared" si="2"/>
        <v>8563</v>
      </c>
      <c r="N14" s="213">
        <f>BG14/D14</f>
        <v>0</v>
      </c>
      <c r="O14" s="37">
        <f t="shared" si="3"/>
        <v>5012.71</v>
      </c>
      <c r="P14" s="213">
        <f>ROUND(AK14/D14,2)</f>
        <v>46.94</v>
      </c>
      <c r="Q14" s="205">
        <f>P14+O14+M14+L14+K14+J14+I14+H14+N14</f>
        <v>79032.600999999995</v>
      </c>
      <c r="R14" s="205">
        <f>ROUND((Z14+AB14+AC14)/D14,3)</f>
        <v>4006.2449999999999</v>
      </c>
      <c r="S14" s="205">
        <f>ROUND((AY14+BE14)/D14,2)</f>
        <v>22.57</v>
      </c>
      <c r="T14" s="24">
        <f>Q14+R14+S14</f>
        <v>83061.415999999997</v>
      </c>
      <c r="U14" s="669"/>
      <c r="V14" s="321">
        <v>3835843</v>
      </c>
      <c r="W14" s="321">
        <v>1316423</v>
      </c>
      <c r="X14" s="321">
        <f>989009-256146+77355</f>
        <v>810218</v>
      </c>
      <c r="Y14" s="321">
        <f>ROUND(X14*0.302,0)</f>
        <v>244686</v>
      </c>
      <c r="Z14" s="15">
        <v>204402</v>
      </c>
      <c r="AA14" s="15"/>
      <c r="AB14" s="15">
        <v>110664</v>
      </c>
      <c r="AC14" s="15">
        <v>77546</v>
      </c>
      <c r="AD14" s="321">
        <v>17677</v>
      </c>
      <c r="AE14" s="15"/>
      <c r="AF14" s="15"/>
      <c r="AG14" s="15"/>
      <c r="AH14" s="15"/>
      <c r="AI14" s="15">
        <v>12900</v>
      </c>
      <c r="AJ14" s="15"/>
      <c r="AK14" s="15">
        <v>4600</v>
      </c>
      <c r="AL14" s="15">
        <f>AD14+AE14+AF14+AG14+AH14+AI14+AK14+AJ14</f>
        <v>35177</v>
      </c>
      <c r="AM14" s="321">
        <v>9457</v>
      </c>
      <c r="AN14" s="321"/>
      <c r="AO14" s="321">
        <v>14153.06</v>
      </c>
      <c r="AP14" s="321">
        <v>107000</v>
      </c>
      <c r="AQ14" s="321"/>
      <c r="AR14" s="343"/>
      <c r="AS14" s="697"/>
      <c r="AT14" s="321"/>
      <c r="AU14" s="321"/>
      <c r="AV14" s="321">
        <v>8080</v>
      </c>
      <c r="AW14" s="321">
        <v>16570</v>
      </c>
      <c r="AX14" s="321"/>
      <c r="AY14" s="321"/>
      <c r="AZ14" s="321"/>
      <c r="BA14" s="321">
        <v>17168</v>
      </c>
      <c r="BB14" s="321"/>
      <c r="BC14" s="321"/>
      <c r="BD14" s="321"/>
      <c r="BE14" s="321">
        <v>2212</v>
      </c>
      <c r="BF14" s="321">
        <v>839174</v>
      </c>
      <c r="BG14" s="15"/>
      <c r="BH14" s="15">
        <v>491246</v>
      </c>
      <c r="BI14" s="205">
        <f>V14+W14+X14+Y14+Z14+AB14+AC14+AL14+AM14+AN14+AO14+AQ14+AT14+AU14+AV14+AW14+AX14+AY14+AZ14+BA14+BB14+BC14+BD14+BE14+BF14+BH14+BG14+AP14</f>
        <v>8140019.0599999996</v>
      </c>
      <c r="BJ14" s="15"/>
      <c r="BK14" s="15"/>
      <c r="BL14" s="206">
        <f>ROUND(BI14/D14,2)</f>
        <v>83061.42</v>
      </c>
      <c r="BM14" s="709"/>
      <c r="BN14" s="81">
        <f>V14+X14</f>
        <v>4646061</v>
      </c>
      <c r="BO14" s="81">
        <f>W14+Y14</f>
        <v>1561109</v>
      </c>
      <c r="BP14" s="81">
        <f>Z14+AB14+AC14</f>
        <v>392612</v>
      </c>
      <c r="BQ14" s="81">
        <f t="shared" si="0"/>
        <v>491246</v>
      </c>
      <c r="BR14" s="81">
        <f t="shared" si="1"/>
        <v>839174</v>
      </c>
      <c r="BS14" s="81">
        <f>AD14+AE14+AF14+AG14+AH14+AI14+AJ14+AK14+AM14+AN14+AO14+AQ14+AR14+AT14+AU14+AV14+AW14+AX14+AY14+AZ14+BA14+BB14+BC14+BD14+BE14+AP14</f>
        <v>209817.06</v>
      </c>
      <c r="BT14" s="58">
        <f>BN14+BO14+BP14+BQ14+BS14+BR14</f>
        <v>8140019.0599999996</v>
      </c>
    </row>
    <row r="15" spans="1:72" ht="58.15" customHeight="1">
      <c r="A15" s="649"/>
      <c r="B15" s="649"/>
      <c r="C15" s="9" t="s">
        <v>112</v>
      </c>
      <c r="D15" s="614">
        <v>8203</v>
      </c>
      <c r="E15" s="670"/>
      <c r="F15" s="15"/>
      <c r="G15" s="15"/>
      <c r="H15" s="15"/>
      <c r="I15" s="15"/>
      <c r="J15" s="15"/>
      <c r="K15" s="15"/>
      <c r="L15" s="15"/>
      <c r="M15" s="213">
        <f t="shared" si="2"/>
        <v>102.3</v>
      </c>
      <c r="N15" s="213"/>
      <c r="O15" s="213">
        <f t="shared" si="3"/>
        <v>59.89</v>
      </c>
      <c r="P15" s="37"/>
      <c r="Q15" s="15"/>
      <c r="R15" s="15"/>
      <c r="S15" s="15"/>
      <c r="T15" s="7"/>
      <c r="U15" s="670"/>
      <c r="V15" s="321"/>
      <c r="W15" s="321"/>
      <c r="X15" s="321"/>
      <c r="Y15" s="15"/>
      <c r="Z15" s="15"/>
      <c r="AA15" s="15"/>
      <c r="AB15" s="15"/>
      <c r="AC15" s="15"/>
      <c r="AD15" s="321"/>
      <c r="AE15" s="15"/>
      <c r="AF15" s="15"/>
      <c r="AG15" s="15"/>
      <c r="AH15" s="15"/>
      <c r="AI15" s="15"/>
      <c r="AJ15" s="15"/>
      <c r="AK15" s="15"/>
      <c r="AL15" s="15"/>
      <c r="AM15" s="321"/>
      <c r="AN15" s="321"/>
      <c r="AO15" s="321"/>
      <c r="AP15" s="321"/>
      <c r="AQ15" s="321"/>
      <c r="AR15" s="343"/>
      <c r="AS15" s="698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>
        <v>839174</v>
      </c>
      <c r="BG15" s="15"/>
      <c r="BH15" s="15">
        <v>491246</v>
      </c>
      <c r="BI15" s="15"/>
      <c r="BJ15" s="15"/>
      <c r="BK15" s="15"/>
      <c r="BL15" s="206"/>
      <c r="BM15" s="710"/>
      <c r="BN15" s="81"/>
      <c r="BO15" s="81"/>
      <c r="BP15" s="81"/>
      <c r="BQ15" s="81">
        <f t="shared" si="0"/>
        <v>491246</v>
      </c>
      <c r="BR15" s="81">
        <f t="shared" si="1"/>
        <v>839174</v>
      </c>
      <c r="BS15" s="81"/>
      <c r="BT15" s="58"/>
    </row>
    <row r="16" spans="1:72" s="98" customFormat="1" ht="29.25" customHeight="1">
      <c r="A16" s="654" t="s">
        <v>175</v>
      </c>
      <c r="B16" s="655"/>
      <c r="C16" s="655"/>
      <c r="D16" s="546">
        <f>D14+D12+D10</f>
        <v>4129</v>
      </c>
      <c r="E16" s="547"/>
      <c r="F16" s="544">
        <f>ROUND((V16+W16)/D16,3)</f>
        <v>42770.188999999998</v>
      </c>
      <c r="G16" s="544">
        <f>ROUND((X16+Y16)/D16,3)</f>
        <v>9896.8009999999995</v>
      </c>
      <c r="H16" s="544">
        <f>F16+G16</f>
        <v>52666.99</v>
      </c>
      <c r="I16" s="544">
        <f>ROUND((AL16-AK16)/D16,3)</f>
        <v>379.54500000000002</v>
      </c>
      <c r="J16" s="544">
        <f>ROUND((AM16+AN16+AO16+AQ16+AR16+AP16)/D16,3)</f>
        <v>1180.2760000000001</v>
      </c>
      <c r="K16" s="544">
        <f>ROUND((AT16+AU16+AV16+AW16+AX16)/D16,3)</f>
        <v>656.89400000000001</v>
      </c>
      <c r="L16" s="544">
        <f>ROUND((BA16+BB16)/D16,3)</f>
        <v>355.79700000000003</v>
      </c>
      <c r="M16" s="545">
        <f t="shared" si="2"/>
        <v>8139.89</v>
      </c>
      <c r="N16" s="545">
        <f>BG16/D16</f>
        <v>60.635989343666751</v>
      </c>
      <c r="O16" s="391">
        <f t="shared" si="3"/>
        <v>3736.38</v>
      </c>
      <c r="P16" s="545">
        <f>ROUND(AK16/D16,2)</f>
        <v>540.95000000000005</v>
      </c>
      <c r="Q16" s="544">
        <f>P16+O16+M16+L16+K16+J16+I16+H16+N16</f>
        <v>67717.357989343654</v>
      </c>
      <c r="R16" s="544">
        <f>ROUND((Z16+AB16+AC16)/D16,3)</f>
        <v>3440.915</v>
      </c>
      <c r="S16" s="544">
        <f>ROUND((AY16+BE16)/D16,3)</f>
        <v>22.053000000000001</v>
      </c>
      <c r="T16" s="389">
        <f t="shared" ref="T16:T22" si="4">Q16+R16+S16</f>
        <v>71180.325989343648</v>
      </c>
      <c r="U16" s="547"/>
      <c r="V16" s="389">
        <f>V10+V12+V14</f>
        <v>131485553</v>
      </c>
      <c r="W16" s="389">
        <f t="shared" ref="W16:AQ16" si="5">W10+W12+W14</f>
        <v>45112558.009999998</v>
      </c>
      <c r="X16" s="389">
        <f t="shared" si="5"/>
        <v>31385478.379999999</v>
      </c>
      <c r="Y16" s="389">
        <f t="shared" si="5"/>
        <v>9478414</v>
      </c>
      <c r="Z16" s="389">
        <f t="shared" si="5"/>
        <v>8288354</v>
      </c>
      <c r="AA16" s="389">
        <f t="shared" si="5"/>
        <v>0</v>
      </c>
      <c r="AB16" s="389">
        <f t="shared" si="5"/>
        <v>3360630</v>
      </c>
      <c r="AC16" s="389">
        <f t="shared" si="5"/>
        <v>2558554</v>
      </c>
      <c r="AD16" s="389">
        <f t="shared" si="5"/>
        <v>393453</v>
      </c>
      <c r="AE16" s="389">
        <f t="shared" si="5"/>
        <v>240000</v>
      </c>
      <c r="AF16" s="389">
        <f t="shared" si="5"/>
        <v>14487</v>
      </c>
      <c r="AG16" s="389">
        <f t="shared" si="5"/>
        <v>100000</v>
      </c>
      <c r="AH16" s="389">
        <f t="shared" si="5"/>
        <v>200000</v>
      </c>
      <c r="AI16" s="389">
        <f t="shared" si="5"/>
        <v>423400</v>
      </c>
      <c r="AJ16" s="389">
        <f t="shared" si="5"/>
        <v>195800</v>
      </c>
      <c r="AK16" s="389">
        <f t="shared" si="5"/>
        <v>2233600</v>
      </c>
      <c r="AL16" s="389">
        <f t="shared" si="5"/>
        <v>3800740</v>
      </c>
      <c r="AM16" s="389">
        <f t="shared" si="5"/>
        <v>547546</v>
      </c>
      <c r="AN16" s="389">
        <f t="shared" si="5"/>
        <v>0</v>
      </c>
      <c r="AO16" s="389">
        <f t="shared" si="5"/>
        <v>1732187.23</v>
      </c>
      <c r="AP16" s="389">
        <f t="shared" si="5"/>
        <v>2545000</v>
      </c>
      <c r="AQ16" s="389">
        <f t="shared" si="5"/>
        <v>48626.31</v>
      </c>
      <c r="AR16" s="395"/>
      <c r="AS16" s="547"/>
      <c r="AT16" s="389">
        <f>AT10+AT12+AT14</f>
        <v>22600</v>
      </c>
      <c r="AU16" s="389">
        <f t="shared" ref="AU16:BI16" si="6">AU10+AU12+AU14</f>
        <v>114000</v>
      </c>
      <c r="AV16" s="389">
        <f t="shared" si="6"/>
        <v>461792</v>
      </c>
      <c r="AW16" s="389">
        <f t="shared" si="6"/>
        <v>2113922</v>
      </c>
      <c r="AX16" s="389">
        <f t="shared" si="6"/>
        <v>0</v>
      </c>
      <c r="AY16" s="389">
        <f t="shared" si="6"/>
        <v>0</v>
      </c>
      <c r="AZ16" s="389">
        <f t="shared" si="6"/>
        <v>0</v>
      </c>
      <c r="BA16" s="389">
        <f t="shared" si="6"/>
        <v>1445698</v>
      </c>
      <c r="BB16" s="389">
        <f t="shared" si="6"/>
        <v>23387.48</v>
      </c>
      <c r="BC16" s="389">
        <f t="shared" si="6"/>
        <v>0</v>
      </c>
      <c r="BD16" s="389">
        <f t="shared" si="6"/>
        <v>0</v>
      </c>
      <c r="BE16" s="389">
        <f t="shared" si="6"/>
        <v>91056</v>
      </c>
      <c r="BF16" s="389">
        <f t="shared" si="6"/>
        <v>33609595.230000004</v>
      </c>
      <c r="BG16" s="389">
        <f t="shared" si="6"/>
        <v>250366</v>
      </c>
      <c r="BH16" s="389">
        <f>BH10+BH12+BH14</f>
        <v>15427520</v>
      </c>
      <c r="BI16" s="389">
        <f t="shared" si="6"/>
        <v>293903577.63999999</v>
      </c>
      <c r="BJ16" s="389"/>
      <c r="BK16" s="389"/>
      <c r="BL16" s="548">
        <f>ROUND(BI16/D16,2)</f>
        <v>71180.33</v>
      </c>
      <c r="BM16" s="549"/>
      <c r="BN16" s="370">
        <f>BN10+BN12+BN14</f>
        <v>162871031.38</v>
      </c>
      <c r="BO16" s="370">
        <f t="shared" ref="BO16:BT16" si="7">BO10+BO12+BO14</f>
        <v>54590972.009999998</v>
      </c>
      <c r="BP16" s="370">
        <f t="shared" si="7"/>
        <v>14207538</v>
      </c>
      <c r="BQ16" s="370">
        <f t="shared" si="7"/>
        <v>15427520</v>
      </c>
      <c r="BR16" s="370">
        <f t="shared" si="7"/>
        <v>33859961.230000004</v>
      </c>
      <c r="BS16" s="370">
        <f t="shared" si="7"/>
        <v>12946555.02</v>
      </c>
      <c r="BT16" s="370">
        <f t="shared" si="7"/>
        <v>293903577.63999999</v>
      </c>
    </row>
    <row r="17" spans="1:72" ht="49.5" customHeight="1">
      <c r="A17" s="651" t="s">
        <v>351</v>
      </c>
      <c r="B17" s="648" t="s">
        <v>169</v>
      </c>
      <c r="C17" s="9" t="s">
        <v>172</v>
      </c>
      <c r="D17" s="614">
        <v>681</v>
      </c>
      <c r="E17" s="666" t="s">
        <v>135</v>
      </c>
      <c r="F17" s="205">
        <f>ROUND((V17+W17)/D17,3)</f>
        <v>126444.198</v>
      </c>
      <c r="G17" s="205">
        <f>ROUND((X17+Y17)/D17,3)</f>
        <v>42042.974999999999</v>
      </c>
      <c r="H17" s="205">
        <f>F17+G17</f>
        <v>168487.17300000001</v>
      </c>
      <c r="I17" s="205">
        <f>ROUND((AL17-AK17)/D17,3)</f>
        <v>1688.693</v>
      </c>
      <c r="J17" s="205">
        <f>ROUND((AM17+AN17+AO17+AQ17+AR17+AP17)/D17,3)</f>
        <v>884.875</v>
      </c>
      <c r="K17" s="205">
        <f>ROUND((AT17+AU17+AV17+AW17+AX17)/D17,3)</f>
        <v>1497.7739999999999</v>
      </c>
      <c r="L17" s="205">
        <f>ROUND((BA17+BB17)/D17,2)</f>
        <v>1644.69</v>
      </c>
      <c r="M17" s="213">
        <f t="shared" si="2"/>
        <v>12491.31</v>
      </c>
      <c r="N17" s="213">
        <f>BG17/D17</f>
        <v>1089.7797356828194</v>
      </c>
      <c r="O17" s="37">
        <f>ROUND(BH17/D17,3)</f>
        <v>14678.41</v>
      </c>
      <c r="P17" s="213">
        <f>ROUND(AK17/D17,3)</f>
        <v>447.04199999999997</v>
      </c>
      <c r="Q17" s="205">
        <f>P17+O17+M17+L17+K17+J17+I17+H17+N17</f>
        <v>202909.74673568283</v>
      </c>
      <c r="R17" s="205">
        <f>ROUND((Z17+AB17+AC17)/D17,3)</f>
        <v>14022.316000000001</v>
      </c>
      <c r="S17" s="205">
        <f>ROUND((AY17+BE17)/D17,3)</f>
        <v>44.052999999999997</v>
      </c>
      <c r="T17" s="206">
        <f t="shared" si="4"/>
        <v>216976.11573568283</v>
      </c>
      <c r="U17" s="666" t="s">
        <v>135</v>
      </c>
      <c r="V17" s="205">
        <f>57964149.91+5613240.09+300000</f>
        <v>63877390</v>
      </c>
      <c r="W17" s="205">
        <f>28872154.97-Y17</f>
        <v>22231108.969999999</v>
      </c>
      <c r="X17" s="205">
        <f>22290219.91-300000</f>
        <v>21990219.91</v>
      </c>
      <c r="Y17" s="205">
        <f>ROUND(X17*0.302,0)</f>
        <v>6641046</v>
      </c>
      <c r="Z17" s="205">
        <v>6687818.0099999998</v>
      </c>
      <c r="AA17" s="205"/>
      <c r="AB17" s="205">
        <v>2231000</v>
      </c>
      <c r="AC17" s="205">
        <v>630378.99</v>
      </c>
      <c r="AD17" s="205">
        <v>175000</v>
      </c>
      <c r="AE17" s="205">
        <v>99000</v>
      </c>
      <c r="AF17" s="205">
        <v>119360</v>
      </c>
      <c r="AG17" s="205">
        <v>50000</v>
      </c>
      <c r="AH17" s="205">
        <v>20584</v>
      </c>
      <c r="AI17" s="205">
        <v>300000</v>
      </c>
      <c r="AJ17" s="205">
        <v>386056</v>
      </c>
      <c r="AK17" s="205">
        <v>304435.86</v>
      </c>
      <c r="AL17" s="205">
        <f>AD17+AE17+AF17+AG17+AH17+AI17+AK17+AJ17</f>
        <v>1454435.8599999999</v>
      </c>
      <c r="AM17" s="205">
        <v>257000</v>
      </c>
      <c r="AN17" s="205">
        <v>27000</v>
      </c>
      <c r="AO17" s="205">
        <v>304200</v>
      </c>
      <c r="AP17" s="205"/>
      <c r="AQ17" s="205">
        <v>14400</v>
      </c>
      <c r="AR17" s="214"/>
      <c r="AS17" s="666" t="s">
        <v>135</v>
      </c>
      <c r="AT17" s="205">
        <v>4400</v>
      </c>
      <c r="AU17" s="205">
        <v>82600</v>
      </c>
      <c r="AV17" s="205">
        <v>425483.87</v>
      </c>
      <c r="AW17" s="205">
        <v>507500</v>
      </c>
      <c r="AX17" s="205"/>
      <c r="AY17" s="205"/>
      <c r="AZ17" s="205"/>
      <c r="BA17" s="205">
        <v>1095030.52</v>
      </c>
      <c r="BB17" s="205">
        <v>25000</v>
      </c>
      <c r="BC17" s="205"/>
      <c r="BD17" s="205"/>
      <c r="BE17" s="205">
        <v>30000</v>
      </c>
      <c r="BF17" s="205">
        <f>9248724.25-BG17</f>
        <v>8506584.25</v>
      </c>
      <c r="BG17" s="205">
        <v>742140</v>
      </c>
      <c r="BH17" s="205">
        <v>9995997</v>
      </c>
      <c r="BI17" s="205">
        <f>V17+W17+X17+Y17+Z17+AB17+AC17+AL17+AM17+AN17+AO17+AQ17+AT17+AU17+AV17+AW17+AX17+AY17+AZ17+BA17+BB17+BC17+BD17+BE17+BF17+BH17+BG17+AP17</f>
        <v>147760733.38</v>
      </c>
      <c r="BJ17" s="205"/>
      <c r="BK17" s="205"/>
      <c r="BL17" s="206">
        <f>ROUND(BI17/D17,2)</f>
        <v>216976.11</v>
      </c>
      <c r="BM17" s="700" t="s">
        <v>135</v>
      </c>
      <c r="BN17" s="81">
        <f>V17+X17</f>
        <v>85867609.909999996</v>
      </c>
      <c r="BO17" s="81">
        <f>W17+Y17</f>
        <v>28872154.969999999</v>
      </c>
      <c r="BP17" s="81">
        <f>Z17+AB17+AC17</f>
        <v>9549197</v>
      </c>
      <c r="BQ17" s="81">
        <f>BH17</f>
        <v>9995997</v>
      </c>
      <c r="BR17" s="81">
        <f>BF17+BG17</f>
        <v>9248724.25</v>
      </c>
      <c r="BS17" s="81">
        <f>AD17+AE17+AF17+AG17+AH17+AI17+AJ17+AK17+AM17+AN17+AO17+AQ17+AR17+AT17+AU17+AV17+AW17+AX17+AY17+AZ17+BA17+BB17+BC17+BD17+BE17+AP17</f>
        <v>4227050.25</v>
      </c>
      <c r="BT17" s="58">
        <f>BN17+BO17+BP17+BQ17+BS17+BR17</f>
        <v>147760733.38</v>
      </c>
    </row>
    <row r="18" spans="1:72" ht="85.5" customHeight="1">
      <c r="A18" s="652"/>
      <c r="B18" s="649"/>
      <c r="C18" s="9" t="s">
        <v>112</v>
      </c>
      <c r="D18" s="614">
        <v>57476</v>
      </c>
      <c r="E18" s="666"/>
      <c r="F18" s="205"/>
      <c r="G18" s="205"/>
      <c r="H18" s="205"/>
      <c r="I18" s="205"/>
      <c r="J18" s="205"/>
      <c r="K18" s="205"/>
      <c r="L18" s="205"/>
      <c r="M18" s="213">
        <f>ROUND(BF18/D18,2)</f>
        <v>148</v>
      </c>
      <c r="N18" s="213"/>
      <c r="O18" s="213">
        <f t="shared" si="3"/>
        <v>173.92</v>
      </c>
      <c r="P18" s="213"/>
      <c r="Q18" s="205"/>
      <c r="R18" s="205"/>
      <c r="S18" s="205"/>
      <c r="T18" s="210"/>
      <c r="U18" s="666"/>
      <c r="V18" s="205"/>
      <c r="W18" s="205"/>
      <c r="X18" s="205"/>
      <c r="Y18" s="606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>
        <f>AD18+AE18+AF18+AG18+AH18+AI18+AK18+AJ18</f>
        <v>0</v>
      </c>
      <c r="AM18" s="205"/>
      <c r="AN18" s="205"/>
      <c r="AO18" s="205"/>
      <c r="AP18" s="205"/>
      <c r="AQ18" s="205"/>
      <c r="AR18" s="204"/>
      <c r="AS18" s="666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>
        <f>BF17</f>
        <v>8506584.25</v>
      </c>
      <c r="BG18" s="205"/>
      <c r="BH18" s="205">
        <v>9995997</v>
      </c>
      <c r="BI18" s="205"/>
      <c r="BJ18" s="205"/>
      <c r="BK18" s="205"/>
      <c r="BL18" s="206"/>
      <c r="BM18" s="700"/>
      <c r="BN18" s="81"/>
      <c r="BO18" s="81"/>
      <c r="BP18" s="81"/>
      <c r="BQ18" s="81">
        <f>BH18</f>
        <v>9995997</v>
      </c>
      <c r="BR18" s="81">
        <f>BF18+BG18</f>
        <v>8506584.25</v>
      </c>
      <c r="BS18" s="81"/>
      <c r="BT18" s="58"/>
    </row>
    <row r="19" spans="1:72" s="98" customFormat="1" ht="35.25" customHeight="1">
      <c r="A19" s="654" t="s">
        <v>176</v>
      </c>
      <c r="B19" s="655"/>
      <c r="C19" s="655"/>
      <c r="D19" s="546">
        <f>D17</f>
        <v>681</v>
      </c>
      <c r="E19" s="550"/>
      <c r="F19" s="389">
        <f>F17</f>
        <v>126444.198</v>
      </c>
      <c r="G19" s="389">
        <f t="shared" ref="G19:S19" si="8">G17</f>
        <v>42042.974999999999</v>
      </c>
      <c r="H19" s="389">
        <f t="shared" si="8"/>
        <v>168487.17300000001</v>
      </c>
      <c r="I19" s="544">
        <f>ROUND((AL19-AK19)/D19,3)</f>
        <v>1688.693</v>
      </c>
      <c r="J19" s="389">
        <f t="shared" si="8"/>
        <v>884.875</v>
      </c>
      <c r="K19" s="389">
        <f t="shared" si="8"/>
        <v>1497.7739999999999</v>
      </c>
      <c r="L19" s="389">
        <f t="shared" si="8"/>
        <v>1644.69</v>
      </c>
      <c r="M19" s="389">
        <f t="shared" si="8"/>
        <v>12491.31</v>
      </c>
      <c r="N19" s="389">
        <f t="shared" si="8"/>
        <v>1089.7797356828194</v>
      </c>
      <c r="O19" s="389">
        <f t="shared" si="8"/>
        <v>14678.41</v>
      </c>
      <c r="P19" s="545">
        <f>ROUND(AK19/D19,2)</f>
        <v>447.04</v>
      </c>
      <c r="Q19" s="389">
        <f t="shared" si="8"/>
        <v>202909.74673568283</v>
      </c>
      <c r="R19" s="389">
        <f t="shared" si="8"/>
        <v>14022.316000000001</v>
      </c>
      <c r="S19" s="389">
        <f t="shared" si="8"/>
        <v>44.052999999999997</v>
      </c>
      <c r="T19" s="548">
        <f t="shared" si="4"/>
        <v>216976.11573568283</v>
      </c>
      <c r="U19" s="550"/>
      <c r="V19" s="389">
        <f>V17</f>
        <v>63877390</v>
      </c>
      <c r="W19" s="389">
        <f t="shared" ref="W19:BI19" si="9">W17</f>
        <v>22231108.969999999</v>
      </c>
      <c r="X19" s="389">
        <f t="shared" si="9"/>
        <v>21990219.91</v>
      </c>
      <c r="Y19" s="389">
        <f t="shared" si="9"/>
        <v>6641046</v>
      </c>
      <c r="Z19" s="389">
        <f t="shared" si="9"/>
        <v>6687818.0099999998</v>
      </c>
      <c r="AA19" s="389">
        <f t="shared" si="9"/>
        <v>0</v>
      </c>
      <c r="AB19" s="389">
        <f t="shared" si="9"/>
        <v>2231000</v>
      </c>
      <c r="AC19" s="389">
        <f t="shared" si="9"/>
        <v>630378.99</v>
      </c>
      <c r="AD19" s="389">
        <f t="shared" si="9"/>
        <v>175000</v>
      </c>
      <c r="AE19" s="389">
        <f t="shared" si="9"/>
        <v>99000</v>
      </c>
      <c r="AF19" s="389">
        <f t="shared" si="9"/>
        <v>119360</v>
      </c>
      <c r="AG19" s="389">
        <f t="shared" si="9"/>
        <v>50000</v>
      </c>
      <c r="AH19" s="389">
        <f t="shared" si="9"/>
        <v>20584</v>
      </c>
      <c r="AI19" s="389">
        <f t="shared" si="9"/>
        <v>300000</v>
      </c>
      <c r="AJ19" s="389">
        <f t="shared" si="9"/>
        <v>386056</v>
      </c>
      <c r="AK19" s="389">
        <f t="shared" si="9"/>
        <v>304435.86</v>
      </c>
      <c r="AL19" s="389">
        <f t="shared" si="9"/>
        <v>1454435.8599999999</v>
      </c>
      <c r="AM19" s="389">
        <f t="shared" si="9"/>
        <v>257000</v>
      </c>
      <c r="AN19" s="389">
        <f t="shared" si="9"/>
        <v>27000</v>
      </c>
      <c r="AO19" s="389">
        <f t="shared" si="9"/>
        <v>304200</v>
      </c>
      <c r="AP19" s="389">
        <f t="shared" si="9"/>
        <v>0</v>
      </c>
      <c r="AQ19" s="389">
        <f t="shared" si="9"/>
        <v>14400</v>
      </c>
      <c r="AR19" s="395">
        <f t="shared" si="9"/>
        <v>0</v>
      </c>
      <c r="AS19" s="550"/>
      <c r="AT19" s="389">
        <f t="shared" si="9"/>
        <v>4400</v>
      </c>
      <c r="AU19" s="389">
        <f t="shared" si="9"/>
        <v>82600</v>
      </c>
      <c r="AV19" s="389">
        <f t="shared" si="9"/>
        <v>425483.87</v>
      </c>
      <c r="AW19" s="389">
        <f t="shared" si="9"/>
        <v>507500</v>
      </c>
      <c r="AX19" s="389">
        <f t="shared" si="9"/>
        <v>0</v>
      </c>
      <c r="AY19" s="389">
        <f t="shared" si="9"/>
        <v>0</v>
      </c>
      <c r="AZ19" s="389">
        <f t="shared" si="9"/>
        <v>0</v>
      </c>
      <c r="BA19" s="389">
        <f t="shared" si="9"/>
        <v>1095030.52</v>
      </c>
      <c r="BB19" s="389">
        <f t="shared" si="9"/>
        <v>25000</v>
      </c>
      <c r="BC19" s="389">
        <f t="shared" si="9"/>
        <v>0</v>
      </c>
      <c r="BD19" s="389">
        <f t="shared" si="9"/>
        <v>0</v>
      </c>
      <c r="BE19" s="389">
        <f t="shared" si="9"/>
        <v>30000</v>
      </c>
      <c r="BF19" s="389">
        <f t="shared" si="9"/>
        <v>8506584.25</v>
      </c>
      <c r="BG19" s="389">
        <f t="shared" si="9"/>
        <v>742140</v>
      </c>
      <c r="BH19" s="389">
        <f t="shared" si="9"/>
        <v>9995997</v>
      </c>
      <c r="BI19" s="389">
        <f t="shared" si="9"/>
        <v>147760733.38</v>
      </c>
      <c r="BJ19" s="389"/>
      <c r="BK19" s="389"/>
      <c r="BL19" s="548">
        <f t="shared" ref="BL19:BL24" si="10">ROUND(BI19/D19,2)</f>
        <v>216976.11</v>
      </c>
      <c r="BM19" s="535"/>
      <c r="BN19" s="370">
        <f>BN17</f>
        <v>85867609.909999996</v>
      </c>
      <c r="BO19" s="370">
        <f t="shared" ref="BO19:BT19" si="11">BO17</f>
        <v>28872154.969999999</v>
      </c>
      <c r="BP19" s="370">
        <f t="shared" si="11"/>
        <v>9549197</v>
      </c>
      <c r="BQ19" s="370">
        <f t="shared" si="11"/>
        <v>9995997</v>
      </c>
      <c r="BR19" s="370">
        <f t="shared" si="11"/>
        <v>9248724.25</v>
      </c>
      <c r="BS19" s="370">
        <f t="shared" si="11"/>
        <v>4227050.25</v>
      </c>
      <c r="BT19" s="370">
        <f t="shared" si="11"/>
        <v>147760733.38</v>
      </c>
    </row>
    <row r="20" spans="1:72" ht="49.9" customHeight="1">
      <c r="A20" s="651" t="s">
        <v>351</v>
      </c>
      <c r="B20" s="648" t="s">
        <v>170</v>
      </c>
      <c r="C20" s="9" t="s">
        <v>172</v>
      </c>
      <c r="D20" s="614">
        <v>3900</v>
      </c>
      <c r="E20" s="662" t="s">
        <v>94</v>
      </c>
      <c r="F20" s="205">
        <f>ROUND((V20+W20)/D20,3)</f>
        <v>13369.484</v>
      </c>
      <c r="G20" s="205">
        <f>ROUND((X20+Y20)/D20,3)</f>
        <v>1380.491</v>
      </c>
      <c r="H20" s="205">
        <f>F20+G20</f>
        <v>14749.975</v>
      </c>
      <c r="I20" s="205">
        <f>ROUND((AL20-AK20)/D20,3)</f>
        <v>106.142</v>
      </c>
      <c r="J20" s="205">
        <f>ROUND((AM20+AN20+AO20+AQ20+AR20+AP20)/D20,3)</f>
        <v>125.417</v>
      </c>
      <c r="K20" s="205">
        <f>ROUND((AT20+AU20+AV20+AW20+AX20)/D20,3)</f>
        <v>149.523</v>
      </c>
      <c r="L20" s="205">
        <f>ROUND((BA20+BB20)/D20,3)</f>
        <v>38.462000000000003</v>
      </c>
      <c r="M20" s="213">
        <f>ROUND(BF20/D20,3)</f>
        <v>1240.087</v>
      </c>
      <c r="N20" s="213">
        <f>BG20/D20</f>
        <v>7.7276923076923074</v>
      </c>
      <c r="O20" s="37">
        <f>ROUND(BH20/D20,3)</f>
        <v>1098.989</v>
      </c>
      <c r="P20" s="213">
        <f>ROUND(AK20/D20,3)</f>
        <v>76.923000000000002</v>
      </c>
      <c r="Q20" s="205">
        <f>P20+O20+M20+L20+K20+J20+I20+H20+N20</f>
        <v>17593.245692307693</v>
      </c>
      <c r="R20" s="205">
        <f>ROUND((Z20+AB20+AC20+AA20)/D20,2)</f>
        <v>204.04</v>
      </c>
      <c r="S20" s="205">
        <f>ROUND((AY20+BE20)/D20,3)</f>
        <v>0</v>
      </c>
      <c r="T20" s="24">
        <f t="shared" si="4"/>
        <v>17797.285692307694</v>
      </c>
      <c r="U20" s="662" t="s">
        <v>94</v>
      </c>
      <c r="V20" s="15">
        <f>30592866.17+3700574+5900000</f>
        <v>40193440.170000002</v>
      </c>
      <c r="W20" s="15">
        <f>13196349-Y20+0.9</f>
        <v>11947546</v>
      </c>
      <c r="X20" s="15">
        <f>10035110.15-5900000</f>
        <v>4135110.1500000004</v>
      </c>
      <c r="Y20" s="15">
        <f>ROUND(X20*0.302,0)+0.9</f>
        <v>1248803.8999999999</v>
      </c>
      <c r="Z20" s="15">
        <v>378522</v>
      </c>
      <c r="AA20" s="15"/>
      <c r="AB20" s="15">
        <v>378200</v>
      </c>
      <c r="AC20" s="15">
        <v>39030</v>
      </c>
      <c r="AD20" s="15">
        <v>100000</v>
      </c>
      <c r="AE20" s="15">
        <v>50000</v>
      </c>
      <c r="AF20" s="15">
        <v>10000</v>
      </c>
      <c r="AG20" s="15">
        <v>1000</v>
      </c>
      <c r="AH20" s="15"/>
      <c r="AI20" s="15">
        <v>250000</v>
      </c>
      <c r="AJ20" s="15">
        <v>2952</v>
      </c>
      <c r="AK20" s="15">
        <v>300000</v>
      </c>
      <c r="AL20" s="15">
        <f t="shared" ref="AL20:AL25" si="12">AD20+AE20+AF20+AG20+AH20+AI20+AK20+AJ20</f>
        <v>713952</v>
      </c>
      <c r="AM20" s="15">
        <f>40438+48013</f>
        <v>88451</v>
      </c>
      <c r="AN20" s="15"/>
      <c r="AO20" s="15"/>
      <c r="AP20" s="15">
        <v>398152</v>
      </c>
      <c r="AQ20" s="15">
        <v>2522</v>
      </c>
      <c r="AR20" s="12">
        <v>0</v>
      </c>
      <c r="AS20" s="662" t="s">
        <v>94</v>
      </c>
      <c r="AT20" s="15"/>
      <c r="AU20" s="15"/>
      <c r="AV20" s="15">
        <v>218760</v>
      </c>
      <c r="AW20" s="15">
        <v>364380</v>
      </c>
      <c r="AX20" s="15"/>
      <c r="AY20" s="15"/>
      <c r="AZ20" s="15"/>
      <c r="BA20" s="15">
        <v>150000</v>
      </c>
      <c r="BB20" s="15"/>
      <c r="BC20" s="15"/>
      <c r="BD20" s="15"/>
      <c r="BE20" s="15"/>
      <c r="BF20" s="15">
        <f>4866476-BG20</f>
        <v>4836338</v>
      </c>
      <c r="BG20" s="15">
        <v>30138</v>
      </c>
      <c r="BH20" s="15">
        <v>4286057</v>
      </c>
      <c r="BI20" s="205">
        <f>V20+W20+X20+Y20+Z20+AB20+AC20+AL20+AM20+AN20+AO20+AQ20+AT20+AU20+AV20+AW20+AX20+AY20+AZ20+BA20+BB20+BC20+BD20+BE20+BF20+BH20+BG20+AP20</f>
        <v>69409402.219999999</v>
      </c>
      <c r="BJ20" s="15"/>
      <c r="BK20" s="15"/>
      <c r="BL20" s="24">
        <f>ROUND(BI20/D20,2)</f>
        <v>17797.28</v>
      </c>
      <c r="BM20" s="701" t="s">
        <v>94</v>
      </c>
      <c r="BN20" s="81">
        <f t="shared" ref="BN20:BO24" si="13">V20+X20</f>
        <v>44328550.32</v>
      </c>
      <c r="BO20" s="81">
        <f>W20+Y20</f>
        <v>13196349.9</v>
      </c>
      <c r="BP20" s="81">
        <f>Z20+AB20+AC20</f>
        <v>795752</v>
      </c>
      <c r="BQ20" s="81">
        <f t="shared" ref="BQ20:BQ25" si="14">BH20</f>
        <v>4286057</v>
      </c>
      <c r="BR20" s="81">
        <f t="shared" ref="BR20:BR25" si="15">BF20+BG20</f>
        <v>4866476</v>
      </c>
      <c r="BS20" s="81">
        <f>AD20+AE20+AF20+AG20+AH20+AI20+AJ20+AK20+AM20+AN20+AO20+AQ20+AR20+AT20+AU20+AV20+AW20+AX20+AY20+AZ20+BA20+BB20+BC20+BD20+BE20+AP20</f>
        <v>1936217</v>
      </c>
      <c r="BT20" s="58">
        <f>BN20+BO20+BP20+BQ20+BS20+BR20</f>
        <v>69409402.219999999</v>
      </c>
    </row>
    <row r="21" spans="1:72" ht="82.5" customHeight="1">
      <c r="A21" s="652"/>
      <c r="B21" s="649"/>
      <c r="C21" s="9" t="s">
        <v>112</v>
      </c>
      <c r="D21" s="614">
        <v>48750</v>
      </c>
      <c r="E21" s="663"/>
      <c r="F21" s="15"/>
      <c r="G21" s="15"/>
      <c r="H21" s="15"/>
      <c r="I21" s="15"/>
      <c r="J21" s="15"/>
      <c r="K21" s="15"/>
      <c r="L21" s="15"/>
      <c r="M21" s="37">
        <f>ROUND(BF21/D21,2)</f>
        <v>99.83</v>
      </c>
      <c r="N21" s="37"/>
      <c r="O21" s="37">
        <f>ROUND(BH21/D21,3)</f>
        <v>87.918999999999997</v>
      </c>
      <c r="P21" s="37"/>
      <c r="Q21" s="15"/>
      <c r="R21" s="15"/>
      <c r="S21" s="15"/>
      <c r="T21" s="7">
        <f t="shared" si="4"/>
        <v>0</v>
      </c>
      <c r="U21" s="663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2"/>
      <c r="AS21" s="663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>
        <f>4866476-BG21</f>
        <v>4866476</v>
      </c>
      <c r="BG21" s="15"/>
      <c r="BH21" s="15">
        <v>4286057</v>
      </c>
      <c r="BI21" s="15"/>
      <c r="BJ21" s="15"/>
      <c r="BK21" s="15"/>
      <c r="BL21" s="24">
        <f t="shared" si="10"/>
        <v>0</v>
      </c>
      <c r="BM21" s="702"/>
      <c r="BN21" s="81"/>
      <c r="BO21" s="81"/>
      <c r="BP21" s="81"/>
      <c r="BQ21" s="81">
        <f t="shared" si="14"/>
        <v>4286057</v>
      </c>
      <c r="BR21" s="81">
        <f>BF21+BG21</f>
        <v>4866476</v>
      </c>
      <c r="BS21" s="81"/>
      <c r="BT21" s="58"/>
    </row>
    <row r="22" spans="1:72" ht="45" customHeight="1">
      <c r="A22" s="651" t="s">
        <v>351</v>
      </c>
      <c r="B22" s="648" t="s">
        <v>170</v>
      </c>
      <c r="C22" s="9" t="s">
        <v>172</v>
      </c>
      <c r="D22" s="614">
        <v>543</v>
      </c>
      <c r="E22" s="644" t="s">
        <v>77</v>
      </c>
      <c r="F22" s="205">
        <f>ROUND((V22+W22)/D22,3)</f>
        <v>8826.5079999999998</v>
      </c>
      <c r="G22" s="205">
        <f>ROUND((X22+Y22)/D22,3)</f>
        <v>769.31600000000003</v>
      </c>
      <c r="H22" s="205">
        <f>F22+G22</f>
        <v>9595.8240000000005</v>
      </c>
      <c r="I22" s="205">
        <f>ROUND((AL22-AK22)/D22,3)</f>
        <v>130.755</v>
      </c>
      <c r="J22" s="205">
        <f>ROUND((AM22+AN22+AO22+AQ22+AR22+AP22)/D22,3)</f>
        <v>129.34800000000001</v>
      </c>
      <c r="K22" s="205">
        <f>ROUND((AT22+AU22+AV22+AW22+AX22)/D22,3)</f>
        <v>339.75</v>
      </c>
      <c r="L22" s="205">
        <f>ROUND((BA22+BB22)/D22,3)</f>
        <v>30.742000000000001</v>
      </c>
      <c r="M22" s="213">
        <f>ROUND(BF22/D22,3)</f>
        <v>1339.2270000000001</v>
      </c>
      <c r="N22" s="213">
        <f>BG22/D22</f>
        <v>0</v>
      </c>
      <c r="O22" s="37">
        <f>ROUND(BH22/D22,3)</f>
        <v>950.55200000000002</v>
      </c>
      <c r="P22" s="213">
        <f>ROUND(AK22/D22,3)</f>
        <v>36.832000000000001</v>
      </c>
      <c r="Q22" s="205">
        <f>P22+O22+M22+L22+K22+J22+I22+H22+N22</f>
        <v>12553.03</v>
      </c>
      <c r="R22" s="205">
        <f>ROUND((Z22+AB22+AC22)/D22,3)</f>
        <v>643.89099999999996</v>
      </c>
      <c r="S22" s="205">
        <f>ROUND((AY22+BE22)/D22,3)</f>
        <v>2.5449999999999999</v>
      </c>
      <c r="T22" s="24">
        <f t="shared" si="4"/>
        <v>13199.466</v>
      </c>
      <c r="U22" s="644" t="s">
        <v>77</v>
      </c>
      <c r="V22" s="15">
        <v>3681162</v>
      </c>
      <c r="W22" s="15">
        <f>1208527.05-Y22</f>
        <v>1111632</v>
      </c>
      <c r="X22" s="15">
        <v>320843.32</v>
      </c>
      <c r="Y22" s="15">
        <v>96895.05</v>
      </c>
      <c r="Z22" s="15">
        <v>159671</v>
      </c>
      <c r="AA22" s="15"/>
      <c r="AB22" s="15">
        <v>134991</v>
      </c>
      <c r="AC22" s="15">
        <v>54971</v>
      </c>
      <c r="AD22" s="15">
        <v>18650</v>
      </c>
      <c r="AE22" s="15">
        <v>10950</v>
      </c>
      <c r="AF22" s="15">
        <v>500</v>
      </c>
      <c r="AG22" s="15">
        <v>300</v>
      </c>
      <c r="AH22" s="15">
        <v>10000</v>
      </c>
      <c r="AI22" s="15">
        <v>30000</v>
      </c>
      <c r="AJ22" s="15">
        <v>600</v>
      </c>
      <c r="AK22" s="15">
        <v>20000</v>
      </c>
      <c r="AL22" s="15">
        <f t="shared" si="12"/>
        <v>91000</v>
      </c>
      <c r="AM22" s="15">
        <v>11000</v>
      </c>
      <c r="AN22" s="15">
        <v>0</v>
      </c>
      <c r="AO22" s="15">
        <v>550</v>
      </c>
      <c r="AP22" s="15">
        <v>58686</v>
      </c>
      <c r="AQ22" s="15">
        <v>0</v>
      </c>
      <c r="AR22" s="12"/>
      <c r="AS22" s="644" t="s">
        <v>77</v>
      </c>
      <c r="AT22" s="15">
        <v>2940</v>
      </c>
      <c r="AU22" s="15">
        <v>24395</v>
      </c>
      <c r="AV22" s="15">
        <f>68605+6345</f>
        <v>74950</v>
      </c>
      <c r="AW22" s="15">
        <f>41583+40616</f>
        <v>82199</v>
      </c>
      <c r="AX22" s="15"/>
      <c r="AY22" s="15">
        <v>32</v>
      </c>
      <c r="AZ22" s="15"/>
      <c r="BA22" s="15">
        <f>2763+1297+10000</f>
        <v>14060</v>
      </c>
      <c r="BB22" s="15">
        <v>2633</v>
      </c>
      <c r="BC22" s="15"/>
      <c r="BD22" s="15"/>
      <c r="BE22" s="15">
        <v>1350</v>
      </c>
      <c r="BF22" s="15">
        <v>727200</v>
      </c>
      <c r="BG22" s="15"/>
      <c r="BH22" s="15">
        <v>516149.98</v>
      </c>
      <c r="BI22" s="205">
        <f>V22+W22+X22+Y22+Z22+AB22+AC22+AL22+AM22+AN22+AO22+AQ22+AT22+AU22+AV22+AW22+AX22+AY22+AZ22+BA22+BB22+BC22+BD22+BE22+BF22+BH22+BG22+AP22</f>
        <v>7167310.3499999996</v>
      </c>
      <c r="BJ22" s="15"/>
      <c r="BK22" s="15"/>
      <c r="BL22" s="24">
        <f t="shared" si="10"/>
        <v>13199.47</v>
      </c>
      <c r="BM22" s="646" t="s">
        <v>77</v>
      </c>
      <c r="BN22" s="81">
        <f t="shared" si="13"/>
        <v>4002005.32</v>
      </c>
      <c r="BO22" s="81">
        <f t="shared" si="13"/>
        <v>1208527.05</v>
      </c>
      <c r="BP22" s="81">
        <f>Z22+AB22+AC22</f>
        <v>349633</v>
      </c>
      <c r="BQ22" s="81">
        <f t="shared" si="14"/>
        <v>516149.98</v>
      </c>
      <c r="BR22" s="81">
        <f t="shared" si="15"/>
        <v>727200</v>
      </c>
      <c r="BS22" s="81">
        <f>AD22+AE22+AF22+AG22+AH22+AI22+AJ22+AK22+AM22+AN22+AO22+AQ22+AR22+AT22+AU22+AV22+AW22+AX22+AY22+AZ22+BA22+BB22+BC22+BD22+BE22+AP22</f>
        <v>363795</v>
      </c>
      <c r="BT22" s="58">
        <f>BN22+BO22+BP22+BQ22+BS22+BR22</f>
        <v>7167310.3499999996</v>
      </c>
    </row>
    <row r="23" spans="1:72" ht="84" customHeight="1">
      <c r="A23" s="652"/>
      <c r="B23" s="649"/>
      <c r="C23" s="9" t="s">
        <v>112</v>
      </c>
      <c r="D23" s="614">
        <v>6788</v>
      </c>
      <c r="E23" s="645"/>
      <c r="F23" s="15"/>
      <c r="G23" s="15"/>
      <c r="H23" s="15"/>
      <c r="I23" s="15"/>
      <c r="J23" s="15"/>
      <c r="K23" s="15"/>
      <c r="L23" s="15"/>
      <c r="M23" s="37">
        <f>ROUND(BF23/D23,2)</f>
        <v>107.13</v>
      </c>
      <c r="N23" s="37"/>
      <c r="O23" s="37">
        <f>ROUND(BH23/D23,3)</f>
        <v>76.039000000000001</v>
      </c>
      <c r="P23" s="37"/>
      <c r="Q23" s="15"/>
      <c r="R23" s="15"/>
      <c r="S23" s="15"/>
      <c r="T23" s="7"/>
      <c r="U23" s="64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>
        <f t="shared" si="12"/>
        <v>0</v>
      </c>
      <c r="AM23" s="15"/>
      <c r="AN23" s="15"/>
      <c r="AO23" s="15"/>
      <c r="AP23" s="15"/>
      <c r="AQ23" s="15"/>
      <c r="AR23" s="12"/>
      <c r="AS23" s="64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>
        <v>727200</v>
      </c>
      <c r="BG23" s="15"/>
      <c r="BH23" s="15">
        <v>516149.98</v>
      </c>
      <c r="BI23" s="15"/>
      <c r="BJ23" s="15"/>
      <c r="BK23" s="15"/>
      <c r="BL23" s="24">
        <f t="shared" si="10"/>
        <v>0</v>
      </c>
      <c r="BM23" s="647"/>
      <c r="BN23" s="81"/>
      <c r="BO23" s="81"/>
      <c r="BP23" s="81"/>
      <c r="BQ23" s="81">
        <f t="shared" si="14"/>
        <v>516149.98</v>
      </c>
      <c r="BR23" s="81">
        <f t="shared" si="15"/>
        <v>727200</v>
      </c>
      <c r="BS23" s="81"/>
      <c r="BT23" s="58"/>
    </row>
    <row r="24" spans="1:72" ht="96" customHeight="1">
      <c r="A24" s="651" t="s">
        <v>351</v>
      </c>
      <c r="B24" s="648" t="s">
        <v>170</v>
      </c>
      <c r="C24" s="9" t="s">
        <v>131</v>
      </c>
      <c r="D24" s="615">
        <v>543</v>
      </c>
      <c r="E24" s="644" t="s">
        <v>78</v>
      </c>
      <c r="F24" s="205">
        <f>ROUND((V24+W24)/D24,3)</f>
        <v>7872.1469999999999</v>
      </c>
      <c r="G24" s="205">
        <f>ROUND((X24+Y24)/D24,3)</f>
        <v>1689.4929999999999</v>
      </c>
      <c r="H24" s="205">
        <f>F24+G24</f>
        <v>9561.64</v>
      </c>
      <c r="I24" s="205">
        <f>ROUND((AL24-AK24)/D24,3)</f>
        <v>45.335999999999999</v>
      </c>
      <c r="J24" s="205">
        <f>ROUND((AM24+AN24+AO24+AQ24+AR24+AP24)/D24,3)</f>
        <v>5.5250000000000004</v>
      </c>
      <c r="K24" s="205">
        <f>ROUND((AT24+AU24+AV24+AW24+AX24)/D24,3)</f>
        <v>152.179</v>
      </c>
      <c r="L24" s="205">
        <f>ROUND((BA24+BB24)/D24,3)</f>
        <v>0</v>
      </c>
      <c r="M24" s="213">
        <f>ROUND(BF24/D24,3)</f>
        <v>1575.655</v>
      </c>
      <c r="N24" s="213">
        <f>BG24/D24</f>
        <v>0</v>
      </c>
      <c r="O24" s="37">
        <f>ROUND(BH24/D24,3)</f>
        <v>950.55200000000002</v>
      </c>
      <c r="P24" s="213">
        <f>ROUND(AK24/D24,3)</f>
        <v>16.574999999999999</v>
      </c>
      <c r="Q24" s="205">
        <f>P24+O24+M24+L24+K24+J24+I24+H24+N24</f>
        <v>12307.462</v>
      </c>
      <c r="R24" s="205">
        <f>ROUND((Z24+AB24+AC24)/D24,2)</f>
        <v>980.2</v>
      </c>
      <c r="S24" s="205">
        <f>ROUND((AY24+BE24)/D24,3)</f>
        <v>0</v>
      </c>
      <c r="T24" s="24">
        <f>Q24+R24+S24</f>
        <v>13287.662</v>
      </c>
      <c r="U24" s="644" t="s">
        <v>78</v>
      </c>
      <c r="V24" s="15">
        <f>3987724.26-X24</f>
        <v>3283120</v>
      </c>
      <c r="W24" s="15">
        <f>1204246.56-Y24</f>
        <v>991456</v>
      </c>
      <c r="X24" s="15">
        <v>704604.26</v>
      </c>
      <c r="Y24" s="15">
        <v>212790.56</v>
      </c>
      <c r="Z24" s="15">
        <v>274719</v>
      </c>
      <c r="AA24" s="15"/>
      <c r="AB24" s="15">
        <v>137736</v>
      </c>
      <c r="AC24" s="15">
        <v>119793</v>
      </c>
      <c r="AD24" s="15">
        <v>6135.48</v>
      </c>
      <c r="AE24" s="15"/>
      <c r="AF24" s="15"/>
      <c r="AG24" s="15"/>
      <c r="AH24" s="15"/>
      <c r="AI24" s="15">
        <f>18542-2000</f>
        <v>16542</v>
      </c>
      <c r="AJ24" s="15">
        <v>1940</v>
      </c>
      <c r="AK24" s="15">
        <v>9000</v>
      </c>
      <c r="AL24" s="15">
        <f t="shared" si="12"/>
        <v>33617.479999999996</v>
      </c>
      <c r="AM24" s="15">
        <v>3000</v>
      </c>
      <c r="AN24" s="15"/>
      <c r="AO24" s="15"/>
      <c r="AP24" s="15"/>
      <c r="AQ24" s="15"/>
      <c r="AR24" s="26"/>
      <c r="AS24" s="644" t="s">
        <v>78</v>
      </c>
      <c r="AT24" s="15"/>
      <c r="AU24" s="15">
        <f>10176+8630</f>
        <v>18806</v>
      </c>
      <c r="AV24" s="15">
        <v>35271</v>
      </c>
      <c r="AW24" s="15">
        <v>28556</v>
      </c>
      <c r="AX24" s="15"/>
      <c r="AY24" s="15"/>
      <c r="AZ24" s="15"/>
      <c r="BA24" s="15"/>
      <c r="BB24" s="15"/>
      <c r="BC24" s="15"/>
      <c r="BD24" s="15"/>
      <c r="BE24" s="15"/>
      <c r="BF24" s="15">
        <v>855580.5</v>
      </c>
      <c r="BG24" s="15"/>
      <c r="BH24" s="15">
        <v>516149.97</v>
      </c>
      <c r="BI24" s="205">
        <f>V24+W24+X24+Y24+Z24+AB24+AC24+AL24+AM24+AN24+AO24+AQ24+AT24+AU24+AV24+AW24+AX24+AY24+AZ24+BA24+BB24+BC24+BD24+BE24+BF24+BH24+BG24+AP24</f>
        <v>7215199.7699999996</v>
      </c>
      <c r="BJ24" s="15"/>
      <c r="BK24" s="15"/>
      <c r="BL24" s="24">
        <f t="shared" si="10"/>
        <v>13287.66</v>
      </c>
      <c r="BM24" s="646" t="s">
        <v>78</v>
      </c>
      <c r="BN24" s="81">
        <f t="shared" si="13"/>
        <v>3987724.26</v>
      </c>
      <c r="BO24" s="81">
        <f t="shared" si="13"/>
        <v>1204246.56</v>
      </c>
      <c r="BP24" s="81">
        <f>Z24+AB24+AC24</f>
        <v>532248</v>
      </c>
      <c r="BQ24" s="81">
        <f t="shared" si="14"/>
        <v>516149.97</v>
      </c>
      <c r="BR24" s="81">
        <f t="shared" si="15"/>
        <v>855580.5</v>
      </c>
      <c r="BS24" s="81">
        <f>AD24+AE24+AF24+AG24+AH24+AI24+AJ24+AK24+AM24+AN24+AO24+AQ24+AR24+AT24+AU24+AV24+AW24+AX24+AY24+AZ24+BA24+BB24+BC24+BD24+BE24+AP24</f>
        <v>119250.48</v>
      </c>
      <c r="BT24" s="58">
        <f>BN24+BO24+BP24+BQ24+BS24+BR24</f>
        <v>7215199.7700000005</v>
      </c>
    </row>
    <row r="25" spans="1:72" ht="36.6" customHeight="1">
      <c r="A25" s="652"/>
      <c r="B25" s="649"/>
      <c r="C25" s="9" t="s">
        <v>112</v>
      </c>
      <c r="D25" s="615">
        <v>6788</v>
      </c>
      <c r="E25" s="645"/>
      <c r="F25" s="15"/>
      <c r="G25" s="15"/>
      <c r="H25" s="15"/>
      <c r="I25" s="15"/>
      <c r="J25" s="15"/>
      <c r="K25" s="15"/>
      <c r="L25" s="15"/>
      <c r="M25" s="37">
        <f>ROUND(BF25/D25,2)</f>
        <v>126.04</v>
      </c>
      <c r="N25" s="37"/>
      <c r="O25" s="37">
        <f>ROUND(BH25/D25,2)</f>
        <v>76.040000000000006</v>
      </c>
      <c r="P25" s="37"/>
      <c r="Q25" s="15"/>
      <c r="R25" s="15"/>
      <c r="S25" s="15"/>
      <c r="T25" s="7"/>
      <c r="U25" s="64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>
        <f t="shared" si="12"/>
        <v>0</v>
      </c>
      <c r="AM25" s="15"/>
      <c r="AN25" s="15"/>
      <c r="AO25" s="15"/>
      <c r="AP25" s="15"/>
      <c r="AQ25" s="15"/>
      <c r="AR25" s="12"/>
      <c r="AS25" s="64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>
        <v>855580.5</v>
      </c>
      <c r="BG25" s="15"/>
      <c r="BH25" s="15">
        <v>516149.97</v>
      </c>
      <c r="BI25" s="15"/>
      <c r="BJ25" s="15"/>
      <c r="BK25" s="15"/>
      <c r="BL25" s="24"/>
      <c r="BM25" s="647"/>
      <c r="BN25" s="81"/>
      <c r="BO25" s="81"/>
      <c r="BP25" s="81"/>
      <c r="BQ25" s="81">
        <f t="shared" si="14"/>
        <v>516149.97</v>
      </c>
      <c r="BR25" s="81">
        <f t="shared" si="15"/>
        <v>855580.5</v>
      </c>
      <c r="BS25" s="81"/>
      <c r="BT25" s="58"/>
    </row>
    <row r="26" spans="1:72" s="98" customFormat="1" ht="24" customHeight="1">
      <c r="A26" s="653" t="s">
        <v>249</v>
      </c>
      <c r="B26" s="653"/>
      <c r="C26" s="653"/>
      <c r="D26" s="546">
        <f>D20+D22+D24</f>
        <v>4986</v>
      </c>
      <c r="E26" s="542"/>
      <c r="F26" s="540">
        <f>ROUND((V26+W26)/D26,3)</f>
        <v>12276.044</v>
      </c>
      <c r="G26" s="540">
        <f>ROUND((X26+Y26)/D26,3)</f>
        <v>1347.5830000000001</v>
      </c>
      <c r="H26" s="540">
        <f>F26+G26</f>
        <v>13623.627</v>
      </c>
      <c r="I26" s="540">
        <f>ROUND((AL26-AK26)/D26,3)</f>
        <v>102.2</v>
      </c>
      <c r="J26" s="540">
        <f>ROUND((AM26+AN26+AO26+AQ26+AR26+AP26)/D26,3)</f>
        <v>112.788</v>
      </c>
      <c r="K26" s="540">
        <f>ROUND((AT26+AU26+AV26+AW26+AX26)/D26,3)</f>
        <v>170.529</v>
      </c>
      <c r="L26" s="540">
        <f>ROUND((BA26+BB26)/D26,3)</f>
        <v>33.432000000000002</v>
      </c>
      <c r="M26" s="541">
        <f>ROUND(BF26/D26,3)</f>
        <v>1287.4280000000001</v>
      </c>
      <c r="N26" s="541">
        <f>BG26/D26</f>
        <v>6.0445246690734056</v>
      </c>
      <c r="O26" s="392">
        <f>ROUND(BH26/D26,3)</f>
        <v>1066.6579999999999</v>
      </c>
      <c r="P26" s="541">
        <f>ROUND(AK26/D26,3)</f>
        <v>65.984999999999999</v>
      </c>
      <c r="Q26" s="540">
        <f>P26+O26+M26+L26+K26+J26+I26+H26+N26</f>
        <v>16468.691524669073</v>
      </c>
      <c r="R26" s="540">
        <f>ROUND((Z26+AB26+AC26)/D26,3)</f>
        <v>336.46899999999999</v>
      </c>
      <c r="S26" s="540">
        <f>ROUND((AY26+BE26)/D26,3)</f>
        <v>0.27700000000000002</v>
      </c>
      <c r="T26" s="389">
        <f>Q26+R26+S26</f>
        <v>16805.437524669072</v>
      </c>
      <c r="U26" s="542"/>
      <c r="V26" s="389">
        <f>V20+V22+V24</f>
        <v>47157722.170000002</v>
      </c>
      <c r="W26" s="389">
        <f t="shared" ref="W26:AQ26" si="16">W20+W22+W24</f>
        <v>14050634</v>
      </c>
      <c r="X26" s="389">
        <f t="shared" si="16"/>
        <v>5160557.7300000004</v>
      </c>
      <c r="Y26" s="389">
        <f t="shared" si="16"/>
        <v>1558489.51</v>
      </c>
      <c r="Z26" s="389">
        <f t="shared" si="16"/>
        <v>812912</v>
      </c>
      <c r="AA26" s="389">
        <f t="shared" si="16"/>
        <v>0</v>
      </c>
      <c r="AB26" s="389">
        <f t="shared" si="16"/>
        <v>650927</v>
      </c>
      <c r="AC26" s="389">
        <f t="shared" si="16"/>
        <v>213794</v>
      </c>
      <c r="AD26" s="389">
        <f t="shared" si="16"/>
        <v>124785.48</v>
      </c>
      <c r="AE26" s="389">
        <f t="shared" si="16"/>
        <v>60950</v>
      </c>
      <c r="AF26" s="389">
        <f t="shared" si="16"/>
        <v>10500</v>
      </c>
      <c r="AG26" s="389">
        <f t="shared" si="16"/>
        <v>1300</v>
      </c>
      <c r="AH26" s="389">
        <f t="shared" si="16"/>
        <v>10000</v>
      </c>
      <c r="AI26" s="389">
        <f t="shared" si="16"/>
        <v>296542</v>
      </c>
      <c r="AJ26" s="389">
        <f t="shared" si="16"/>
        <v>5492</v>
      </c>
      <c r="AK26" s="389">
        <f t="shared" si="16"/>
        <v>329000</v>
      </c>
      <c r="AL26" s="389">
        <f t="shared" si="16"/>
        <v>838569.48</v>
      </c>
      <c r="AM26" s="389">
        <f t="shared" si="16"/>
        <v>102451</v>
      </c>
      <c r="AN26" s="389">
        <f t="shared" si="16"/>
        <v>0</v>
      </c>
      <c r="AO26" s="389">
        <f t="shared" si="16"/>
        <v>550</v>
      </c>
      <c r="AP26" s="389">
        <f t="shared" si="16"/>
        <v>456838</v>
      </c>
      <c r="AQ26" s="389">
        <f t="shared" si="16"/>
        <v>2522</v>
      </c>
      <c r="AR26" s="395"/>
      <c r="AS26" s="542"/>
      <c r="AT26" s="389">
        <f>AT20+AT22+AT24</f>
        <v>2940</v>
      </c>
      <c r="AU26" s="389">
        <f t="shared" ref="AU26:BI26" si="17">AU20+AU22+AU24</f>
        <v>43201</v>
      </c>
      <c r="AV26" s="389">
        <f t="shared" si="17"/>
        <v>328981</v>
      </c>
      <c r="AW26" s="389">
        <f t="shared" si="17"/>
        <v>475135</v>
      </c>
      <c r="AX26" s="389">
        <f t="shared" si="17"/>
        <v>0</v>
      </c>
      <c r="AY26" s="389">
        <f t="shared" si="17"/>
        <v>32</v>
      </c>
      <c r="AZ26" s="389">
        <f t="shared" si="17"/>
        <v>0</v>
      </c>
      <c r="BA26" s="389">
        <f t="shared" si="17"/>
        <v>164060</v>
      </c>
      <c r="BB26" s="389">
        <f t="shared" si="17"/>
        <v>2633</v>
      </c>
      <c r="BC26" s="389">
        <f t="shared" si="17"/>
        <v>0</v>
      </c>
      <c r="BD26" s="389">
        <f t="shared" si="17"/>
        <v>0</v>
      </c>
      <c r="BE26" s="389">
        <f t="shared" si="17"/>
        <v>1350</v>
      </c>
      <c r="BF26" s="389">
        <f t="shared" si="17"/>
        <v>6419118.5</v>
      </c>
      <c r="BG26" s="389">
        <f t="shared" si="17"/>
        <v>30138</v>
      </c>
      <c r="BH26" s="389">
        <f t="shared" si="17"/>
        <v>5318356.95</v>
      </c>
      <c r="BI26" s="389">
        <f t="shared" si="17"/>
        <v>83791912.339999989</v>
      </c>
      <c r="BJ26" s="389"/>
      <c r="BK26" s="389"/>
      <c r="BL26" s="389">
        <f>ROUND(BI26/D26,2)</f>
        <v>16805.439999999999</v>
      </c>
      <c r="BM26" s="543"/>
      <c r="BN26" s="370">
        <f>BN20+BN22+BN24</f>
        <v>52318279.899999999</v>
      </c>
      <c r="BO26" s="370">
        <f t="shared" ref="BO26:BT26" si="18">BO20+BO22+BO24</f>
        <v>15609123.510000002</v>
      </c>
      <c r="BP26" s="370">
        <f t="shared" si="18"/>
        <v>1677633</v>
      </c>
      <c r="BQ26" s="370">
        <f t="shared" si="18"/>
        <v>5318356.95</v>
      </c>
      <c r="BR26" s="370">
        <f t="shared" si="18"/>
        <v>6449256.5</v>
      </c>
      <c r="BS26" s="370">
        <f t="shared" si="18"/>
        <v>2419262.48</v>
      </c>
      <c r="BT26" s="370">
        <f t="shared" si="18"/>
        <v>83791912.339999989</v>
      </c>
    </row>
    <row r="27" spans="1:72" ht="45" customHeight="1">
      <c r="A27" s="651" t="s">
        <v>351</v>
      </c>
      <c r="B27" s="648" t="s">
        <v>171</v>
      </c>
      <c r="C27" s="9" t="s">
        <v>172</v>
      </c>
      <c r="D27" s="614">
        <v>188</v>
      </c>
      <c r="E27" s="644" t="s">
        <v>95</v>
      </c>
      <c r="F27" s="205">
        <f>ROUND((V27+W27)/D27,3)</f>
        <v>17403.618999999999</v>
      </c>
      <c r="G27" s="205">
        <f>ROUND((X27+Y27)/D27,3)</f>
        <v>12389.957</v>
      </c>
      <c r="H27" s="205">
        <f>F27+G27</f>
        <v>29793.576000000001</v>
      </c>
      <c r="I27" s="205">
        <f>ROUND((AL27-AK27)/D27,3)</f>
        <v>202.20699999999999</v>
      </c>
      <c r="J27" s="205">
        <f>ROUND((AM27+AN27+AO27+AQ27+AR27+AP27)/D27,3)</f>
        <v>446.68599999999998</v>
      </c>
      <c r="K27" s="205">
        <f>ROUND((AT27+AU27+AV27+AW27+AX27)/D27,3)</f>
        <v>230.995</v>
      </c>
      <c r="L27" s="205">
        <f>ROUND((BA27+BB27)/D27,3)</f>
        <v>111.878</v>
      </c>
      <c r="M27" s="213">
        <f>ROUND(BF27/D27,3)</f>
        <v>2298.2660000000001</v>
      </c>
      <c r="N27" s="213">
        <f>BG27/D27</f>
        <v>52.228723404255319</v>
      </c>
      <c r="O27" s="37">
        <f>ROUND(BH27/D27,3)</f>
        <v>3831.6219999999998</v>
      </c>
      <c r="P27" s="213">
        <f>ROUND(AK27/D27,3)</f>
        <v>45.213000000000001</v>
      </c>
      <c r="Q27" s="205">
        <f>P27+O27+M27+L27+K27+J27+I27+H27+N27</f>
        <v>37012.671723404252</v>
      </c>
      <c r="R27" s="205">
        <f>ROUND((Z27+AB27+AC27+AA27)/D27,3)</f>
        <v>4559.9160000000002</v>
      </c>
      <c r="S27" s="205">
        <f>ROUND((AY27+BE27)/D27,3)</f>
        <v>13.298</v>
      </c>
      <c r="T27" s="24">
        <f>Q27+R27+S27</f>
        <v>41585.885723404252</v>
      </c>
      <c r="U27" s="644" t="s">
        <v>95</v>
      </c>
      <c r="V27" s="15">
        <v>2512955</v>
      </c>
      <c r="W27" s="15">
        <f>ROUND(V27*0.302,0)+13.38</f>
        <v>758925.38</v>
      </c>
      <c r="X27" s="15">
        <v>1789026</v>
      </c>
      <c r="Y27" s="15">
        <f>ROUND(X27*0.302,0)</f>
        <v>540286</v>
      </c>
      <c r="Z27" s="15">
        <v>315432.2</v>
      </c>
      <c r="AA27" s="15"/>
      <c r="AB27" s="15">
        <v>352792</v>
      </c>
      <c r="AC27" s="15">
        <v>189040</v>
      </c>
      <c r="AD27" s="15">
        <v>13415</v>
      </c>
      <c r="AE27" s="15"/>
      <c r="AF27" s="15">
        <v>9700</v>
      </c>
      <c r="AG27" s="15"/>
      <c r="AH27" s="15"/>
      <c r="AI27" s="15">
        <v>14900</v>
      </c>
      <c r="AJ27" s="15"/>
      <c r="AK27" s="15">
        <v>8500</v>
      </c>
      <c r="AL27" s="15">
        <f t="shared" ref="AL27:AL42" si="19">AD27+AE27+AF27+AG27+AH27+AI27+AK27+AJ27</f>
        <v>46515</v>
      </c>
      <c r="AM27" s="15">
        <v>11963</v>
      </c>
      <c r="AN27" s="15"/>
      <c r="AO27" s="15">
        <v>65200</v>
      </c>
      <c r="AP27" s="15">
        <v>5214</v>
      </c>
      <c r="AQ27" s="15">
        <v>1600</v>
      </c>
      <c r="AR27" s="26"/>
      <c r="AS27" s="644" t="s">
        <v>95</v>
      </c>
      <c r="AT27" s="15">
        <v>5900</v>
      </c>
      <c r="AU27" s="15">
        <v>11845</v>
      </c>
      <c r="AV27" s="15">
        <v>25682</v>
      </c>
      <c r="AW27" s="15"/>
      <c r="AX27" s="15"/>
      <c r="AY27" s="15">
        <v>1500</v>
      </c>
      <c r="AZ27" s="15"/>
      <c r="BA27" s="15">
        <v>21033</v>
      </c>
      <c r="BB27" s="15"/>
      <c r="BC27" s="15"/>
      <c r="BD27" s="15"/>
      <c r="BE27" s="15">
        <v>1000</v>
      </c>
      <c r="BF27" s="15">
        <f>441893-9819</f>
        <v>432074</v>
      </c>
      <c r="BG27" s="15">
        <v>9819</v>
      </c>
      <c r="BH27" s="15">
        <v>720345</v>
      </c>
      <c r="BI27" s="205">
        <f>V27+W27+X27+Y27+Z27+AB27+AC27+AL27+AM27+AN27+AO27+AQ27+AT27+AU27+AV27+AW27+AX27+AY27+AZ27+BA27+BB27+BC27+BD27+BE27+BF27+BH27+BG27+AP27+AA27</f>
        <v>7818146.5800000001</v>
      </c>
      <c r="BJ27" s="15"/>
      <c r="BK27" s="15"/>
      <c r="BL27" s="24">
        <f>ROUND(BI27/D27,2)</f>
        <v>41585.89</v>
      </c>
      <c r="BM27" s="646" t="s">
        <v>95</v>
      </c>
      <c r="BN27" s="207">
        <f>V27+X27</f>
        <v>4301981</v>
      </c>
      <c r="BO27" s="207">
        <f>W27+Y27</f>
        <v>1299211.3799999999</v>
      </c>
      <c r="BP27" s="207">
        <f>Z27+AB27+AC27+AA27</f>
        <v>857264.2</v>
      </c>
      <c r="BQ27" s="207">
        <f t="shared" ref="BQ27:BQ34" si="20">BH27</f>
        <v>720345</v>
      </c>
      <c r="BR27" s="207">
        <f>BF27+BG27</f>
        <v>441893</v>
      </c>
      <c r="BS27" s="81">
        <f>AD27+AE27+AF27+AG27+AH27+AI27+AJ27+AK27+AM27+AN27+AO27+AQ27+AR27+AT27+AU27+AV27+AW27+AX27+AY27+AZ27+BA27+BB27+BC27+BD27+BE27+AP27</f>
        <v>197452</v>
      </c>
      <c r="BT27" s="208">
        <f>BN27+BO27+BP27+BQ27+BS27+BR27</f>
        <v>7818146.5800000001</v>
      </c>
    </row>
    <row r="28" spans="1:72" ht="82.15" customHeight="1">
      <c r="A28" s="652"/>
      <c r="B28" s="649"/>
      <c r="C28" s="9" t="s">
        <v>112</v>
      </c>
      <c r="D28" s="614">
        <v>3365</v>
      </c>
      <c r="E28" s="657"/>
      <c r="F28" s="15"/>
      <c r="G28" s="15"/>
      <c r="H28" s="15"/>
      <c r="I28" s="15"/>
      <c r="J28" s="15"/>
      <c r="K28" s="15"/>
      <c r="L28" s="15"/>
      <c r="M28" s="37">
        <f>ROUND(BF28/D28,2)</f>
        <v>128.4</v>
      </c>
      <c r="N28" s="215"/>
      <c r="O28" s="37">
        <f>ROUND(BH28/D28,2)</f>
        <v>214.07</v>
      </c>
      <c r="P28" s="37"/>
      <c r="Q28" s="15"/>
      <c r="R28" s="15"/>
      <c r="S28" s="15"/>
      <c r="T28" s="7"/>
      <c r="U28" s="657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>
        <f t="shared" si="19"/>
        <v>0</v>
      </c>
      <c r="AM28" s="15"/>
      <c r="AN28" s="15"/>
      <c r="AO28" s="15"/>
      <c r="AP28" s="15"/>
      <c r="AQ28" s="15"/>
      <c r="AR28" s="12"/>
      <c r="AS28" s="657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>
        <f>441893-9819</f>
        <v>432074</v>
      </c>
      <c r="BG28" s="15"/>
      <c r="BH28" s="15">
        <v>720345</v>
      </c>
      <c r="BI28" s="15"/>
      <c r="BJ28" s="15"/>
      <c r="BK28" s="15"/>
      <c r="BL28" s="24"/>
      <c r="BM28" s="699"/>
      <c r="BN28" s="207"/>
      <c r="BO28" s="207"/>
      <c r="BP28" s="207"/>
      <c r="BQ28" s="207">
        <f t="shared" si="20"/>
        <v>720345</v>
      </c>
      <c r="BR28" s="207">
        <f t="shared" ref="BR28:BR34" si="21">BF28+BG28</f>
        <v>432074</v>
      </c>
      <c r="BS28" s="207"/>
      <c r="BT28" s="208"/>
    </row>
    <row r="29" spans="1:72" ht="45" customHeight="1">
      <c r="A29" s="651" t="s">
        <v>393</v>
      </c>
      <c r="B29" s="648"/>
      <c r="C29" s="9" t="s">
        <v>172</v>
      </c>
      <c r="D29" s="614">
        <v>321</v>
      </c>
      <c r="E29" s="644" t="s">
        <v>95</v>
      </c>
      <c r="F29" s="205">
        <f>ROUND((V29+W29)/D29,3)</f>
        <v>13464.776</v>
      </c>
      <c r="G29" s="205">
        <f>ROUND((X29+Y29)/D29,3)</f>
        <v>6142.5050000000001</v>
      </c>
      <c r="H29" s="205">
        <f>F29+G29</f>
        <v>19607.280999999999</v>
      </c>
      <c r="I29" s="205">
        <f>ROUND((AL29-AK29)/D29,3)</f>
        <v>237.458</v>
      </c>
      <c r="J29" s="205">
        <f>ROUND((AM29+AN29+AO29+AQ29+AR29+AP29)/D29,3)</f>
        <v>143.18700000000001</v>
      </c>
      <c r="K29" s="205">
        <f>ROUND((AT29+AU29+AV29+AW29+AX29)/D29,3)</f>
        <v>257.95600000000002</v>
      </c>
      <c r="L29" s="205">
        <f>ROUND((BA29+BB29)/D29,3)</f>
        <v>145.53</v>
      </c>
      <c r="M29" s="213">
        <f>ROUND(BF29/D29,3)</f>
        <v>3021.9520000000002</v>
      </c>
      <c r="N29" s="213">
        <f>BG29/D29</f>
        <v>0</v>
      </c>
      <c r="O29" s="37">
        <f>ROUND(BH29/D29,3)</f>
        <v>1867.6849999999999</v>
      </c>
      <c r="P29" s="213">
        <f>ROUND(AK29/D29,3)</f>
        <v>32.71</v>
      </c>
      <c r="Q29" s="205">
        <f>P29+O29+M29+L29+K29+J29+I29+H29+N29</f>
        <v>25313.758999999998</v>
      </c>
      <c r="R29" s="205">
        <f>ROUND((Z29+AB29+AC29+AA29)/D29,3)</f>
        <v>2139.6439999999998</v>
      </c>
      <c r="S29" s="205">
        <f>ROUND((AY29+BE29)/D29,3)</f>
        <v>17.134</v>
      </c>
      <c r="T29" s="24">
        <f t="shared" ref="T29:T41" si="22">Q29+R29+S29</f>
        <v>27470.536999999997</v>
      </c>
      <c r="U29" s="644" t="s">
        <v>95</v>
      </c>
      <c r="V29" s="15">
        <f>2968664+350993.17</f>
        <v>3319657.17</v>
      </c>
      <c r="W29" s="15">
        <f>ROUND(V29*0.302,0)</f>
        <v>1002536</v>
      </c>
      <c r="X29" s="15">
        <v>1514396</v>
      </c>
      <c r="Y29" s="15">
        <f>ROUND(X29*0.302,0)</f>
        <v>457348</v>
      </c>
      <c r="Z29" s="15">
        <v>288508.79999999999</v>
      </c>
      <c r="AA29" s="15">
        <v>1042</v>
      </c>
      <c r="AB29" s="15">
        <v>304252</v>
      </c>
      <c r="AC29" s="15">
        <v>93023</v>
      </c>
      <c r="AD29" s="15">
        <v>22804</v>
      </c>
      <c r="AE29" s="15"/>
      <c r="AF29" s="15">
        <v>20320</v>
      </c>
      <c r="AG29" s="15"/>
      <c r="AH29" s="15"/>
      <c r="AI29" s="15">
        <v>33100</v>
      </c>
      <c r="AJ29" s="15"/>
      <c r="AK29" s="15">
        <v>10500</v>
      </c>
      <c r="AL29" s="15">
        <f t="shared" si="19"/>
        <v>86724</v>
      </c>
      <c r="AM29" s="15">
        <v>9749</v>
      </c>
      <c r="AN29" s="15"/>
      <c r="AO29" s="15">
        <v>30000</v>
      </c>
      <c r="AP29" s="15">
        <v>5214</v>
      </c>
      <c r="AQ29" s="15">
        <v>1000</v>
      </c>
      <c r="AR29" s="12"/>
      <c r="AS29" s="644" t="s">
        <v>95</v>
      </c>
      <c r="AT29" s="15">
        <v>14502</v>
      </c>
      <c r="AU29" s="15">
        <v>26125</v>
      </c>
      <c r="AV29" s="15">
        <v>42177</v>
      </c>
      <c r="AW29" s="15"/>
      <c r="AX29" s="15"/>
      <c r="AY29" s="15">
        <v>3500</v>
      </c>
      <c r="AZ29" s="15"/>
      <c r="BA29" s="15">
        <v>46715</v>
      </c>
      <c r="BB29" s="15"/>
      <c r="BC29" s="15"/>
      <c r="BD29" s="15"/>
      <c r="BE29" s="15">
        <v>2000</v>
      </c>
      <c r="BF29" s="15">
        <v>970046.5</v>
      </c>
      <c r="BG29" s="15"/>
      <c r="BH29" s="15">
        <v>599527</v>
      </c>
      <c r="BI29" s="205">
        <f>V29+W29+X29+Y29+Z29+AB29+AC29+AL29+AM29+AN29+AO29+AQ29+AT29+AU29+AV29+AW29+AX29+AY29+AZ29+BA29+BB29+BC29+BD29+BE29+BF29+BH29+BG29+AP29+AA29</f>
        <v>8818042.4699999988</v>
      </c>
      <c r="BJ29" s="15"/>
      <c r="BK29" s="15"/>
      <c r="BL29" s="24">
        <f>ROUND(BI29/D29,2)</f>
        <v>27470.54</v>
      </c>
      <c r="BM29" s="646" t="s">
        <v>95</v>
      </c>
      <c r="BN29" s="207">
        <f>V29+X29</f>
        <v>4834053.17</v>
      </c>
      <c r="BO29" s="207">
        <f>W29+Y29</f>
        <v>1459884</v>
      </c>
      <c r="BP29" s="207">
        <f>Z29+AB29+AC29+AA29</f>
        <v>686825.8</v>
      </c>
      <c r="BQ29" s="207">
        <f t="shared" si="20"/>
        <v>599527</v>
      </c>
      <c r="BR29" s="207">
        <f t="shared" si="21"/>
        <v>970046.5</v>
      </c>
      <c r="BS29" s="81">
        <f>AD29+AE29+AF29+AG29+AH29+AI29+AJ29+AK29+AM29+AN29+AO29+AQ29+AR29+AT29+AU29+AV29+AW29+AX29+AY29+AZ29+BA29+BB29+BC29+BD29+BE29+AP29</f>
        <v>267706</v>
      </c>
      <c r="BT29" s="208">
        <f>BN29+BO29+BP29+BQ29+BS29+BR29</f>
        <v>8818042.4699999988</v>
      </c>
    </row>
    <row r="30" spans="1:72" ht="84" customHeight="1">
      <c r="A30" s="652"/>
      <c r="B30" s="649"/>
      <c r="C30" s="9" t="s">
        <v>112</v>
      </c>
      <c r="D30" s="614">
        <v>7479</v>
      </c>
      <c r="E30" s="657"/>
      <c r="F30" s="15"/>
      <c r="G30" s="15"/>
      <c r="H30" s="15"/>
      <c r="I30" s="15"/>
      <c r="J30" s="15"/>
      <c r="K30" s="15"/>
      <c r="L30" s="15"/>
      <c r="M30" s="37">
        <f>ROUND(BF30/D30,2)</f>
        <v>129.69999999999999</v>
      </c>
      <c r="N30" s="216"/>
      <c r="O30" s="37">
        <f t="shared" ref="O30:O36" si="23">ROUND(BH30/D30,2)</f>
        <v>80.16</v>
      </c>
      <c r="P30" s="37"/>
      <c r="Q30" s="15"/>
      <c r="R30" s="15"/>
      <c r="S30" s="15"/>
      <c r="T30" s="7"/>
      <c r="U30" s="657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>
        <f t="shared" si="19"/>
        <v>0</v>
      </c>
      <c r="AM30" s="15"/>
      <c r="AN30" s="15"/>
      <c r="AO30" s="15"/>
      <c r="AP30" s="15"/>
      <c r="AQ30" s="15"/>
      <c r="AR30" s="12"/>
      <c r="AS30" s="657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>
        <v>970046.5</v>
      </c>
      <c r="BG30" s="15"/>
      <c r="BH30" s="15">
        <v>599527</v>
      </c>
      <c r="BI30" s="15"/>
      <c r="BJ30" s="15"/>
      <c r="BK30" s="15"/>
      <c r="BL30" s="24"/>
      <c r="BM30" s="699"/>
      <c r="BN30" s="207"/>
      <c r="BO30" s="207"/>
      <c r="BP30" s="207"/>
      <c r="BQ30" s="207">
        <f t="shared" si="20"/>
        <v>599527</v>
      </c>
      <c r="BR30" s="207">
        <f t="shared" si="21"/>
        <v>970046.5</v>
      </c>
      <c r="BS30" s="207"/>
      <c r="BT30" s="208"/>
    </row>
    <row r="31" spans="1:72" ht="46.15" customHeight="1">
      <c r="A31" s="651" t="s">
        <v>359</v>
      </c>
      <c r="B31" s="648"/>
      <c r="C31" s="9" t="s">
        <v>172</v>
      </c>
      <c r="D31" s="615">
        <v>189</v>
      </c>
      <c r="E31" s="644" t="s">
        <v>93</v>
      </c>
      <c r="F31" s="205">
        <f>ROUND((V31+W31)/D31,3)</f>
        <v>8037.7150000000001</v>
      </c>
      <c r="G31" s="205">
        <f>ROUND((X31+Y31)/D31,3)</f>
        <v>0</v>
      </c>
      <c r="H31" s="205">
        <f>F31+G31</f>
        <v>8037.7150000000001</v>
      </c>
      <c r="I31" s="205">
        <f>ROUND((AL31-AK31)/D31,3)</f>
        <v>321.15300000000002</v>
      </c>
      <c r="J31" s="205">
        <f>ROUND((AM31+AN31+AO31+AQ31+AR31+AP31)/D31,3)</f>
        <v>0</v>
      </c>
      <c r="K31" s="205">
        <f>ROUND((AT31+AU31+AV31+AW31+AX31)/D31,3)</f>
        <v>0</v>
      </c>
      <c r="L31" s="205">
        <f>ROUND((BA31+BB31)/D31,3)</f>
        <v>0</v>
      </c>
      <c r="M31" s="213">
        <f>ROUND(BF31/D31,3)</f>
        <v>1334.82</v>
      </c>
      <c r="N31" s="213">
        <f>BG31/D31</f>
        <v>0</v>
      </c>
      <c r="O31" s="37">
        <f>ROUND(BH31/D31,3)</f>
        <v>862.38099999999997</v>
      </c>
      <c r="P31" s="213">
        <f>ROUND(AK31/D31,3)</f>
        <v>49.454999999999998</v>
      </c>
      <c r="Q31" s="205">
        <f>P31+O31+M31+L31+K31+J31+I31+H31+N31</f>
        <v>10605.524000000001</v>
      </c>
      <c r="R31" s="205">
        <f>ROUND((Z31+AB31+AC31+AA31)/D31,2)</f>
        <v>0</v>
      </c>
      <c r="S31" s="205">
        <f>ROUND((AY31+BE31)/D31,3)</f>
        <v>0</v>
      </c>
      <c r="T31" s="24">
        <f t="shared" si="22"/>
        <v>10605.524000000001</v>
      </c>
      <c r="U31" s="644" t="s">
        <v>93</v>
      </c>
      <c r="V31" s="15">
        <v>1147906</v>
      </c>
      <c r="W31" s="15">
        <v>371222.21</v>
      </c>
      <c r="X31" s="15"/>
      <c r="Y31" s="15"/>
      <c r="Z31" s="15"/>
      <c r="AA31" s="15"/>
      <c r="AB31" s="15"/>
      <c r="AC31" s="15"/>
      <c r="AD31" s="15">
        <v>7000</v>
      </c>
      <c r="AE31" s="15"/>
      <c r="AF31" s="15"/>
      <c r="AG31" s="15"/>
      <c r="AH31" s="15"/>
      <c r="AI31" s="15">
        <f>55698-2000</f>
        <v>53698</v>
      </c>
      <c r="AJ31" s="15"/>
      <c r="AK31" s="15">
        <v>9347</v>
      </c>
      <c r="AL31" s="15">
        <f t="shared" si="19"/>
        <v>70045</v>
      </c>
      <c r="AM31" s="15"/>
      <c r="AN31" s="15"/>
      <c r="AO31" s="15"/>
      <c r="AP31" s="15"/>
      <c r="AQ31" s="15"/>
      <c r="AR31" s="12"/>
      <c r="AS31" s="644" t="s">
        <v>93</v>
      </c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537">
        <v>252281</v>
      </c>
      <c r="BG31" s="15"/>
      <c r="BH31" s="224">
        <v>162990</v>
      </c>
      <c r="BI31" s="205">
        <f>V31+W31+X31+Y31+Z31+AB31+AC31+AL31+AM31+AN31+AO31+AQ31+AT31+AU31+AV31+AW31+AX31+AY31+AZ31+BA31+BB31+BC31+BD31+BE31+BF31+BH31+BG31+AP31</f>
        <v>2004444.21</v>
      </c>
      <c r="BJ31" s="15"/>
      <c r="BK31" s="15"/>
      <c r="BL31" s="24">
        <f>ROUND(BI31/D31,3)</f>
        <v>10605.525</v>
      </c>
      <c r="BM31" s="646" t="s">
        <v>93</v>
      </c>
      <c r="BN31" s="58">
        <f>V31+X31</f>
        <v>1147906</v>
      </c>
      <c r="BO31" s="58">
        <f>W31+Y31</f>
        <v>371222.21</v>
      </c>
      <c r="BP31" s="58">
        <f>Z31+AB31+AC31</f>
        <v>0</v>
      </c>
      <c r="BQ31" s="58">
        <f t="shared" si="20"/>
        <v>162990</v>
      </c>
      <c r="BR31" s="58">
        <f t="shared" si="21"/>
        <v>252281</v>
      </c>
      <c r="BS31" s="81">
        <f>AD31+AE31+AF31+AG31+AH31+AI31+AJ31+AK31+AM31+AN31+AO31+AQ31+AR31+AT31+AU31+AV31+AW31+AX31+AY31+AZ31+BA31+BB31+BC31+BD31+BE31+AP31</f>
        <v>70045</v>
      </c>
      <c r="BT31" s="58">
        <f>BN31+BO31+BP31+BQ31+BS31+BR31</f>
        <v>2004444.21</v>
      </c>
    </row>
    <row r="32" spans="1:72" ht="65.45" customHeight="1">
      <c r="A32" s="652"/>
      <c r="B32" s="649"/>
      <c r="C32" s="9" t="s">
        <v>112</v>
      </c>
      <c r="D32" s="615">
        <v>2108</v>
      </c>
      <c r="E32" s="661"/>
      <c r="F32" s="15"/>
      <c r="G32" s="15"/>
      <c r="H32" s="15"/>
      <c r="I32" s="15"/>
      <c r="J32" s="15"/>
      <c r="K32" s="15"/>
      <c r="L32" s="15"/>
      <c r="M32" s="37">
        <f>ROUND(BF32/D32,2)</f>
        <v>119.68</v>
      </c>
      <c r="N32" s="37"/>
      <c r="O32" s="37">
        <f t="shared" si="23"/>
        <v>77.319999999999993</v>
      </c>
      <c r="P32" s="37"/>
      <c r="Q32" s="15"/>
      <c r="R32" s="15"/>
      <c r="S32" s="15"/>
      <c r="T32" s="7"/>
      <c r="U32" s="657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>
        <f t="shared" si="19"/>
        <v>0</v>
      </c>
      <c r="AM32" s="15"/>
      <c r="AN32" s="15"/>
      <c r="AO32" s="15"/>
      <c r="AP32" s="15"/>
      <c r="AQ32" s="15"/>
      <c r="AR32" s="12"/>
      <c r="AS32" s="657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>
        <v>252281</v>
      </c>
      <c r="BG32" s="15"/>
      <c r="BH32" s="224">
        <v>162990</v>
      </c>
      <c r="BI32" s="15"/>
      <c r="BJ32" s="15"/>
      <c r="BK32" s="15"/>
      <c r="BL32" s="24"/>
      <c r="BM32" s="699"/>
      <c r="BN32" s="58"/>
      <c r="BO32" s="58"/>
      <c r="BP32" s="58"/>
      <c r="BQ32" s="58">
        <f t="shared" si="20"/>
        <v>162990</v>
      </c>
      <c r="BR32" s="58">
        <f t="shared" si="21"/>
        <v>252281</v>
      </c>
      <c r="BS32" s="58"/>
      <c r="BT32" s="58"/>
    </row>
    <row r="33" spans="1:72" ht="36.6" customHeight="1">
      <c r="A33" s="651" t="s">
        <v>359</v>
      </c>
      <c r="B33" s="648"/>
      <c r="C33" s="9" t="s">
        <v>172</v>
      </c>
      <c r="D33" s="614">
        <v>76</v>
      </c>
      <c r="E33" s="644" t="s">
        <v>77</v>
      </c>
      <c r="F33" s="205">
        <f>ROUND((V33+W33)/D33,3)</f>
        <v>1213.5450000000001</v>
      </c>
      <c r="G33" s="205">
        <f>ROUND((X33+Y33)/D33,3)</f>
        <v>0</v>
      </c>
      <c r="H33" s="205">
        <f>F33+G33</f>
        <v>1213.5450000000001</v>
      </c>
      <c r="I33" s="205">
        <f>ROUND((AL33-AK33)/D33,3)</f>
        <v>115.855</v>
      </c>
      <c r="J33" s="205">
        <f>ROUND((AM33+AN33+AO33+AQ33+AR33+AP33)/D33,3)</f>
        <v>0</v>
      </c>
      <c r="K33" s="205">
        <f>ROUND((AT33+AU33+AV33+AW33+AX33)/D33,3)</f>
        <v>0</v>
      </c>
      <c r="L33" s="205">
        <f>ROUND((BA33+BB33)/D33,3)</f>
        <v>0</v>
      </c>
      <c r="M33" s="213">
        <f>ROUND(BF33/D33,3)</f>
        <v>578.947</v>
      </c>
      <c r="N33" s="213">
        <f>BG33/D33</f>
        <v>0</v>
      </c>
      <c r="O33" s="37">
        <f>ROUND(BH33/D33,3)</f>
        <v>362.54899999999998</v>
      </c>
      <c r="P33" s="213">
        <f>ROUND(AK33/D33,3)</f>
        <v>29.789000000000001</v>
      </c>
      <c r="Q33" s="205">
        <f>P33+O33+M33+L33+K33+J33+I33+H33+N33</f>
        <v>2300.6849999999999</v>
      </c>
      <c r="R33" s="205">
        <f>ROUND((Z33+AB33+AC33+AA33)/D33,2)</f>
        <v>0</v>
      </c>
      <c r="S33" s="205">
        <f>ROUND((AY33+BE33)/D33,3)</f>
        <v>0</v>
      </c>
      <c r="T33" s="24">
        <f t="shared" si="22"/>
        <v>2300.6849999999999</v>
      </c>
      <c r="U33" s="644" t="s">
        <v>77</v>
      </c>
      <c r="V33" s="15">
        <v>70836.77</v>
      </c>
      <c r="W33" s="15">
        <v>21392.639999999999</v>
      </c>
      <c r="X33" s="15"/>
      <c r="Y33" s="15"/>
      <c r="Z33" s="15"/>
      <c r="AA33" s="15"/>
      <c r="AB33" s="15"/>
      <c r="AC33" s="15"/>
      <c r="AD33" s="15">
        <v>3245</v>
      </c>
      <c r="AE33" s="15">
        <v>1500</v>
      </c>
      <c r="AF33" s="15"/>
      <c r="AG33" s="15">
        <v>200</v>
      </c>
      <c r="AH33" s="15">
        <v>1500</v>
      </c>
      <c r="AI33" s="15"/>
      <c r="AJ33" s="15">
        <v>2360</v>
      </c>
      <c r="AK33" s="15">
        <v>2264</v>
      </c>
      <c r="AL33" s="15">
        <f t="shared" si="19"/>
        <v>11069</v>
      </c>
      <c r="AM33" s="15"/>
      <c r="AN33" s="15"/>
      <c r="AO33" s="15"/>
      <c r="AP33" s="15"/>
      <c r="AQ33" s="15"/>
      <c r="AR33" s="12"/>
      <c r="AS33" s="644" t="s">
        <v>77</v>
      </c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>
        <v>44000</v>
      </c>
      <c r="BG33" s="15"/>
      <c r="BH33" s="224">
        <v>27553.75</v>
      </c>
      <c r="BI33" s="205">
        <f>V33+W33+X33+Y33+Z33+AB33+AC33+AL33+AM33+AN33+AO33+AQ33+AT33+AU33+AV33+AW33+AX33+AY33+AZ33+BA33+BB33+BC33+BD33+BE33+BF33+BH33+BG33+AP33</f>
        <v>174852.16</v>
      </c>
      <c r="BJ33" s="15"/>
      <c r="BK33" s="15"/>
      <c r="BL33" s="24">
        <f>ROUND(BI33/D33,2)</f>
        <v>2300.69</v>
      </c>
      <c r="BM33" s="646" t="s">
        <v>77</v>
      </c>
      <c r="BN33" s="58">
        <f>V33+X33</f>
        <v>70836.77</v>
      </c>
      <c r="BO33" s="58">
        <f>W33+Y33</f>
        <v>21392.639999999999</v>
      </c>
      <c r="BP33" s="58">
        <f>Z33+AB33+AC33</f>
        <v>0</v>
      </c>
      <c r="BQ33" s="58">
        <f>BH33</f>
        <v>27553.75</v>
      </c>
      <c r="BR33" s="58">
        <f>BF33+BG33</f>
        <v>44000</v>
      </c>
      <c r="BS33" s="81">
        <f>AD33+AE33+AF33+AG33+AH33+AI33+AJ33+AK33+AM33+AN33+AO33+AQ33+AR33+AT33+AU33+AV33+AW33+AX33+AY33+AZ33+BA33+BB33+BC33+BD33+BE33+AP33</f>
        <v>11069</v>
      </c>
      <c r="BT33" s="58">
        <f>BN33+BO33+BP33+BQ33+BS33+BR33</f>
        <v>174852.16</v>
      </c>
    </row>
    <row r="34" spans="1:72" ht="79.150000000000006" customHeight="1">
      <c r="A34" s="652"/>
      <c r="B34" s="649"/>
      <c r="C34" s="9" t="s">
        <v>112</v>
      </c>
      <c r="D34" s="614">
        <v>530</v>
      </c>
      <c r="E34" s="645"/>
      <c r="F34" s="15"/>
      <c r="G34" s="15"/>
      <c r="H34" s="15"/>
      <c r="I34" s="15"/>
      <c r="J34" s="15"/>
      <c r="K34" s="15"/>
      <c r="L34" s="15"/>
      <c r="M34" s="37">
        <f>ROUND(BF34/D34,2)</f>
        <v>83.02</v>
      </c>
      <c r="N34" s="37"/>
      <c r="O34" s="37">
        <f t="shared" si="23"/>
        <v>51.99</v>
      </c>
      <c r="P34" s="37"/>
      <c r="Q34" s="15"/>
      <c r="R34" s="15"/>
      <c r="S34" s="15"/>
      <c r="T34" s="7"/>
      <c r="U34" s="64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>
        <f t="shared" si="19"/>
        <v>0</v>
      </c>
      <c r="AM34" s="15"/>
      <c r="AN34" s="15"/>
      <c r="AO34" s="15"/>
      <c r="AP34" s="15"/>
      <c r="AQ34" s="15"/>
      <c r="AR34" s="12"/>
      <c r="AS34" s="64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>
        <v>44000</v>
      </c>
      <c r="BG34" s="15"/>
      <c r="BH34" s="224">
        <v>27553.75</v>
      </c>
      <c r="BI34" s="15"/>
      <c r="BJ34" s="15"/>
      <c r="BK34" s="15"/>
      <c r="BL34" s="7"/>
      <c r="BM34" s="647"/>
      <c r="BN34" s="224"/>
      <c r="BO34" s="539"/>
      <c r="BP34" s="81"/>
      <c r="BQ34" s="58">
        <f t="shared" si="20"/>
        <v>27553.75</v>
      </c>
      <c r="BR34" s="58">
        <f t="shared" si="21"/>
        <v>44000</v>
      </c>
      <c r="BS34" s="81"/>
      <c r="BT34" s="81"/>
    </row>
    <row r="35" spans="1:72" ht="41.25" customHeight="1">
      <c r="A35" s="651" t="s">
        <v>359</v>
      </c>
      <c r="B35" s="648"/>
      <c r="C35" s="9" t="s">
        <v>172</v>
      </c>
      <c r="D35" s="614">
        <v>393</v>
      </c>
      <c r="E35" s="671" t="s">
        <v>133</v>
      </c>
      <c r="F35" s="205">
        <f>ROUND((V35+W35)/D35,3)</f>
        <v>6882.1139999999996</v>
      </c>
      <c r="G35" s="205">
        <f>ROUND((X35+Y35)/D35,3)</f>
        <v>0</v>
      </c>
      <c r="H35" s="205">
        <f>F35+G35</f>
        <v>6882.1139999999996</v>
      </c>
      <c r="I35" s="205">
        <f>ROUND((AL35-AK35)/D35,3)</f>
        <v>139.37899999999999</v>
      </c>
      <c r="J35" s="205">
        <f>ROUND((AM35+AN35+AO35+AQ35+AR35+AP35)/D35,3)</f>
        <v>0</v>
      </c>
      <c r="K35" s="205">
        <f>ROUND((AT35+AU35+AV35+AW35+AX35)/D35,3)</f>
        <v>0</v>
      </c>
      <c r="L35" s="205">
        <f>ROUND((BA35+BB35)/D35,3)</f>
        <v>2.8660000000000001</v>
      </c>
      <c r="M35" s="213">
        <f>ROUND(BF35/D35,3)</f>
        <v>1068.181</v>
      </c>
      <c r="N35" s="213">
        <f>BG35/D35</f>
        <v>0</v>
      </c>
      <c r="O35" s="37">
        <f>ROUND(BH35/D35,3)</f>
        <v>689.32799999999997</v>
      </c>
      <c r="P35" s="213">
        <f>ROUND(AK35/D35,3)</f>
        <v>17.303000000000001</v>
      </c>
      <c r="Q35" s="205">
        <f>P35+O35+M35+L35+K35+J35+I35+H35+N35</f>
        <v>8799.1709999999985</v>
      </c>
      <c r="R35" s="205">
        <f>ROUND((Z35+AB35+AC35)/D35,2)</f>
        <v>0</v>
      </c>
      <c r="S35" s="205">
        <f>ROUND((AY35+BE35)/D35,3)</f>
        <v>0</v>
      </c>
      <c r="T35" s="24">
        <f t="shared" si="22"/>
        <v>8799.1709999999985</v>
      </c>
      <c r="U35" s="671" t="s">
        <v>133</v>
      </c>
      <c r="V35" s="15">
        <v>2033273.56</v>
      </c>
      <c r="W35" s="15">
        <v>671397.07</v>
      </c>
      <c r="X35" s="15"/>
      <c r="Y35" s="15"/>
      <c r="Z35" s="15"/>
      <c r="AA35" s="15"/>
      <c r="AB35" s="15"/>
      <c r="AC35" s="15"/>
      <c r="AD35" s="205">
        <f>27697.77+6042</f>
        <v>33739.770000000004</v>
      </c>
      <c r="AE35" s="205"/>
      <c r="AF35" s="205"/>
      <c r="AG35" s="205"/>
      <c r="AH35" s="205"/>
      <c r="AI35" s="205"/>
      <c r="AJ35" s="205">
        <v>21036</v>
      </c>
      <c r="AK35" s="205">
        <v>6800</v>
      </c>
      <c r="AL35" s="15">
        <f>SUM(AD35:AK35)</f>
        <v>61575.770000000004</v>
      </c>
      <c r="AM35" s="15"/>
      <c r="AN35" s="15"/>
      <c r="AO35" s="15"/>
      <c r="AP35" s="15"/>
      <c r="AQ35" s="15"/>
      <c r="AR35" s="12"/>
      <c r="AS35" s="671" t="s">
        <v>133</v>
      </c>
      <c r="AT35" s="15"/>
      <c r="AU35" s="15"/>
      <c r="AV35" s="15"/>
      <c r="AW35" s="15"/>
      <c r="AX35" s="15"/>
      <c r="AY35" s="15"/>
      <c r="AZ35" s="15"/>
      <c r="BA35" s="205">
        <v>1126.23</v>
      </c>
      <c r="BB35" s="15"/>
      <c r="BC35" s="15"/>
      <c r="BD35" s="15"/>
      <c r="BE35" s="15"/>
      <c r="BF35" s="537">
        <v>419795</v>
      </c>
      <c r="BG35" s="15"/>
      <c r="BH35" s="224">
        <v>270906</v>
      </c>
      <c r="BI35" s="205">
        <f>V35+W35+X35+Y35+Z35+AB35+AC35+AL35+AM35+AN35+AO35+AQ35+AT35+AU35+AV35+AW35+AX35+AY35+AZ35+BA35+BB35+BC35+BD35+BE35+BF35+BH35+BG35+AP35</f>
        <v>3458073.63</v>
      </c>
      <c r="BJ35" s="15"/>
      <c r="BK35" s="15"/>
      <c r="BL35" s="24">
        <f>ROUND(BI35/D35,2)</f>
        <v>8799.17</v>
      </c>
      <c r="BM35" s="705" t="s">
        <v>133</v>
      </c>
      <c r="BN35" s="58">
        <f>V35+X35</f>
        <v>2033273.56</v>
      </c>
      <c r="BO35" s="58">
        <f>W35+Y35</f>
        <v>671397.07</v>
      </c>
      <c r="BP35" s="58">
        <f>Z35+AB35+AC35</f>
        <v>0</v>
      </c>
      <c r="BQ35" s="58">
        <f t="shared" ref="BQ35:BQ44" si="24">BH35</f>
        <v>270906</v>
      </c>
      <c r="BR35" s="58">
        <f t="shared" ref="BR35:BR44" si="25">BF35+BG35</f>
        <v>419795</v>
      </c>
      <c r="BS35" s="81">
        <f>AD35+AE35+AF35+AG35+AH35+AI35+AJ35+AK35+AM35+AN35+AO35+AQ35+AR35+AT35+AU35+AV35+AW35+AX35+AY35+AZ35+BA35+BB35+BC35+BD35+BE35+AP35</f>
        <v>62702.000000000007</v>
      </c>
      <c r="BT35" s="58">
        <f>BN35+BO35+BP35+BQ35+BS35+BR35</f>
        <v>3458073.63</v>
      </c>
    </row>
    <row r="36" spans="1:72" ht="104.25" customHeight="1">
      <c r="A36" s="652"/>
      <c r="B36" s="649"/>
      <c r="C36" s="9" t="s">
        <v>112</v>
      </c>
      <c r="D36" s="614">
        <v>4017</v>
      </c>
      <c r="E36" s="672"/>
      <c r="F36" s="15"/>
      <c r="G36" s="15"/>
      <c r="H36" s="15"/>
      <c r="I36" s="15"/>
      <c r="J36" s="15"/>
      <c r="K36" s="15"/>
      <c r="L36" s="15"/>
      <c r="M36" s="37">
        <f>ROUND(BF36/D36,2)</f>
        <v>104.5</v>
      </c>
      <c r="N36" s="37"/>
      <c r="O36" s="37">
        <f t="shared" si="23"/>
        <v>67.44</v>
      </c>
      <c r="P36" s="37"/>
      <c r="Q36" s="15"/>
      <c r="R36" s="15"/>
      <c r="S36" s="15"/>
      <c r="T36" s="7"/>
      <c r="U36" s="672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>
        <f t="shared" si="19"/>
        <v>0</v>
      </c>
      <c r="AM36" s="15"/>
      <c r="AN36" s="15"/>
      <c r="AO36" s="15"/>
      <c r="AP36" s="15"/>
      <c r="AQ36" s="15"/>
      <c r="AR36" s="12"/>
      <c r="AS36" s="672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>
        <v>419795</v>
      </c>
      <c r="BG36" s="15"/>
      <c r="BH36" s="224">
        <v>270906</v>
      </c>
      <c r="BI36" s="15"/>
      <c r="BJ36" s="15"/>
      <c r="BK36" s="15"/>
      <c r="BL36" s="24"/>
      <c r="BM36" s="706"/>
      <c r="BN36" s="58"/>
      <c r="BO36" s="58"/>
      <c r="BP36" s="58"/>
      <c r="BQ36" s="58">
        <f t="shared" si="24"/>
        <v>270906</v>
      </c>
      <c r="BR36" s="58">
        <f t="shared" si="25"/>
        <v>419795</v>
      </c>
      <c r="BS36" s="58"/>
      <c r="BT36" s="58"/>
    </row>
    <row r="37" spans="1:72" ht="40.9" customHeight="1">
      <c r="A37" s="651" t="s">
        <v>359</v>
      </c>
      <c r="B37" s="648"/>
      <c r="C37" s="9" t="s">
        <v>172</v>
      </c>
      <c r="D37" s="614">
        <v>28</v>
      </c>
      <c r="E37" s="644" t="s">
        <v>69</v>
      </c>
      <c r="F37" s="205">
        <f>ROUND((V37+W37)/D37,3)</f>
        <v>0</v>
      </c>
      <c r="G37" s="205">
        <f>ROUND((X37+Y37)/D37,3)</f>
        <v>0</v>
      </c>
      <c r="H37" s="205">
        <f>F37+G37</f>
        <v>0</v>
      </c>
      <c r="I37" s="205">
        <f>ROUND((AL37-AK37)/D37,3)</f>
        <v>34.106999999999999</v>
      </c>
      <c r="J37" s="205">
        <f>ROUND((AM37+AN37+AO37+AQ37+AR37+AP37)/D37,3)</f>
        <v>0</v>
      </c>
      <c r="K37" s="205">
        <f>ROUND((AT37+AU37+AV37+AW37+AX37)/D37,3)</f>
        <v>0</v>
      </c>
      <c r="L37" s="205">
        <f>ROUND((BA37+BB37)/D37,3)</f>
        <v>0</v>
      </c>
      <c r="M37" s="213">
        <f>ROUND(BF37/D37,3)</f>
        <v>545.92899999999997</v>
      </c>
      <c r="N37" s="213">
        <f>BG37/D37</f>
        <v>0</v>
      </c>
      <c r="O37" s="37">
        <f>ROUND(BH37/D37,3)</f>
        <v>352.214</v>
      </c>
      <c r="P37" s="213">
        <f>ROUND(AK37/D37,3)</f>
        <v>47.429000000000002</v>
      </c>
      <c r="Q37" s="205">
        <f>P37+O37+M37+L37+K37+J37+I37+H37+N37</f>
        <v>979.67899999999997</v>
      </c>
      <c r="R37" s="205">
        <f>ROUND((Z37+AB37+AC37)/D37,2)</f>
        <v>0</v>
      </c>
      <c r="S37" s="205">
        <f>ROUND((AY37+BE37)/D37,3)</f>
        <v>0</v>
      </c>
      <c r="T37" s="24">
        <f>Q37+R37+S37</f>
        <v>979.67899999999997</v>
      </c>
      <c r="U37" s="644" t="s">
        <v>69</v>
      </c>
      <c r="V37" s="15"/>
      <c r="W37" s="15"/>
      <c r="X37" s="15"/>
      <c r="Y37" s="15"/>
      <c r="Z37" s="15"/>
      <c r="AA37" s="15"/>
      <c r="AB37" s="15"/>
      <c r="AC37" s="15"/>
      <c r="AD37" s="15">
        <v>955</v>
      </c>
      <c r="AE37" s="15"/>
      <c r="AF37" s="15"/>
      <c r="AG37" s="15"/>
      <c r="AH37" s="15"/>
      <c r="AI37" s="15"/>
      <c r="AJ37" s="15"/>
      <c r="AK37" s="15">
        <v>1328</v>
      </c>
      <c r="AL37" s="15">
        <f t="shared" si="19"/>
        <v>2283</v>
      </c>
      <c r="AM37" s="15"/>
      <c r="AN37" s="15"/>
      <c r="AO37" s="15"/>
      <c r="AP37" s="15"/>
      <c r="AQ37" s="15"/>
      <c r="AR37" s="12"/>
      <c r="AS37" s="644" t="s">
        <v>69</v>
      </c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537">
        <v>15286</v>
      </c>
      <c r="BG37" s="15"/>
      <c r="BH37" s="224">
        <v>9862</v>
      </c>
      <c r="BI37" s="205">
        <f>V37+W37+X37+Y37+Z37+AB37+AC37+AL37+AM37+AN37+AO37+AQ37+AT37+AU37+AV37+AW37+AX37+AY37+AZ37+BA37+BB37+BC37+BD37+BE37+BF37+BH37+BG37+AP37</f>
        <v>27431</v>
      </c>
      <c r="BJ37" s="15"/>
      <c r="BK37" s="15"/>
      <c r="BL37" s="24">
        <f>ROUND(BI37/D37,2)</f>
        <v>979.68</v>
      </c>
      <c r="BM37" s="646" t="s">
        <v>69</v>
      </c>
      <c r="BN37" s="81">
        <f t="shared" ref="BN37:BO39" si="26">V37+X37</f>
        <v>0</v>
      </c>
      <c r="BO37" s="81">
        <f t="shared" si="26"/>
        <v>0</v>
      </c>
      <c r="BP37" s="81">
        <f>Z37+AB37+AC37</f>
        <v>0</v>
      </c>
      <c r="BQ37" s="58">
        <f t="shared" si="24"/>
        <v>9862</v>
      </c>
      <c r="BR37" s="58">
        <f t="shared" si="25"/>
        <v>15286</v>
      </c>
      <c r="BS37" s="81">
        <f>AD37+AE37+AF37+AG37+AH37+AI37+AJ37+AK37+AM37+AN37+AO37+AQ37+AR37+AT37+AU37+AV37+AW37+AX37+AY37+AZ37+BA37+BB37+BC37+BD37+BE37+AP37</f>
        <v>2283</v>
      </c>
      <c r="BT37" s="58">
        <f>BN37+BO37+BP37+BQ37+BS37+BR37</f>
        <v>27431</v>
      </c>
    </row>
    <row r="38" spans="1:72" ht="74.45" customHeight="1">
      <c r="A38" s="652"/>
      <c r="B38" s="649"/>
      <c r="C38" s="9" t="s">
        <v>112</v>
      </c>
      <c r="D38" s="614">
        <v>160</v>
      </c>
      <c r="E38" s="645"/>
      <c r="F38" s="15"/>
      <c r="G38" s="15"/>
      <c r="H38" s="15"/>
      <c r="I38" s="15"/>
      <c r="J38" s="15"/>
      <c r="K38" s="15"/>
      <c r="L38" s="15"/>
      <c r="M38" s="37">
        <f>ROUND(BF38/D38,2)</f>
        <v>95.54</v>
      </c>
      <c r="N38" s="37"/>
      <c r="O38" s="37">
        <f t="shared" ref="O38:O46" si="27">ROUND(BH38/D38,2)</f>
        <v>61.64</v>
      </c>
      <c r="P38" s="37"/>
      <c r="Q38" s="15"/>
      <c r="R38" s="15"/>
      <c r="S38" s="15"/>
      <c r="T38" s="7"/>
      <c r="U38" s="64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>
        <f t="shared" si="19"/>
        <v>0</v>
      </c>
      <c r="AM38" s="15"/>
      <c r="AN38" s="15"/>
      <c r="AO38" s="15"/>
      <c r="AP38" s="15"/>
      <c r="AQ38" s="15"/>
      <c r="AR38" s="12"/>
      <c r="AS38" s="64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>
        <v>15286</v>
      </c>
      <c r="BG38" s="15"/>
      <c r="BH38" s="224">
        <v>9862</v>
      </c>
      <c r="BI38" s="15"/>
      <c r="BJ38" s="15"/>
      <c r="BK38" s="15"/>
      <c r="BL38" s="24"/>
      <c r="BM38" s="647"/>
      <c r="BN38" s="81"/>
      <c r="BO38" s="81"/>
      <c r="BP38" s="81"/>
      <c r="BQ38" s="58">
        <f t="shared" si="24"/>
        <v>9862</v>
      </c>
      <c r="BR38" s="58">
        <f t="shared" si="25"/>
        <v>15286</v>
      </c>
      <c r="BS38" s="81"/>
      <c r="BT38" s="58"/>
    </row>
    <row r="39" spans="1:72" ht="45.75" customHeight="1">
      <c r="A39" s="651" t="s">
        <v>359</v>
      </c>
      <c r="B39" s="648"/>
      <c r="C39" s="9" t="s">
        <v>172</v>
      </c>
      <c r="D39" s="614">
        <v>5</v>
      </c>
      <c r="E39" s="644" t="s">
        <v>74</v>
      </c>
      <c r="F39" s="205">
        <f>ROUND((V39+W39)/D39,3)</f>
        <v>0</v>
      </c>
      <c r="G39" s="205">
        <f>ROUND((X39+Y39)/D39,3)</f>
        <v>0</v>
      </c>
      <c r="H39" s="205">
        <f>F39+G39</f>
        <v>0</v>
      </c>
      <c r="I39" s="205">
        <f>ROUND((AL39-AK39)/D39,3)</f>
        <v>188.61</v>
      </c>
      <c r="J39" s="205">
        <f>ROUND((AM39+AN39+AO39+AQ39+AR39+AP39)/D39,3)</f>
        <v>0</v>
      </c>
      <c r="K39" s="205">
        <f>ROUND((AT39+AU39+AV39+AW39+AX39)/D39,3)</f>
        <v>0</v>
      </c>
      <c r="L39" s="205">
        <f>ROUND((BA39+BB39)/D39,3)</f>
        <v>0</v>
      </c>
      <c r="M39" s="213">
        <f>ROUND(BF39/D39,3)</f>
        <v>1263.2</v>
      </c>
      <c r="N39" s="213">
        <f>BG39/D39</f>
        <v>0</v>
      </c>
      <c r="O39" s="37">
        <f>ROUND(BH39/D39,3)</f>
        <v>815</v>
      </c>
      <c r="P39" s="213">
        <f>ROUND(AK39/D39,3)</f>
        <v>0</v>
      </c>
      <c r="Q39" s="205">
        <f>P39+O39+M39+L39+K39+J39+I39+H39+N39</f>
        <v>2266.81</v>
      </c>
      <c r="R39" s="205">
        <f>ROUND((Z39+AB39+AC39)/D39,2)</f>
        <v>0</v>
      </c>
      <c r="S39" s="205">
        <f>ROUND((AY39+BE39)/D39,3)</f>
        <v>0</v>
      </c>
      <c r="T39" s="24">
        <f t="shared" si="22"/>
        <v>2266.81</v>
      </c>
      <c r="U39" s="644" t="s">
        <v>74</v>
      </c>
      <c r="V39" s="15"/>
      <c r="W39" s="15"/>
      <c r="X39" s="15"/>
      <c r="Y39" s="15"/>
      <c r="Z39" s="15"/>
      <c r="AA39" s="15"/>
      <c r="AB39" s="15"/>
      <c r="AC39" s="15"/>
      <c r="AD39" s="15">
        <v>943.05</v>
      </c>
      <c r="AE39" s="15"/>
      <c r="AF39" s="15"/>
      <c r="AG39" s="15"/>
      <c r="AH39" s="15"/>
      <c r="AI39" s="15"/>
      <c r="AJ39" s="15"/>
      <c r="AK39" s="15"/>
      <c r="AL39" s="15">
        <f t="shared" si="19"/>
        <v>943.05</v>
      </c>
      <c r="AM39" s="15"/>
      <c r="AN39" s="15"/>
      <c r="AO39" s="15"/>
      <c r="AP39" s="15"/>
      <c r="AQ39" s="15"/>
      <c r="AR39" s="12"/>
      <c r="AS39" s="644" t="s">
        <v>74</v>
      </c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537">
        <v>6316</v>
      </c>
      <c r="BG39" s="15"/>
      <c r="BH39" s="224">
        <v>4075</v>
      </c>
      <c r="BI39" s="205">
        <f>V39+W39+X39+Y39+Z39+AB39+AC39+AL39+AM39+AN39+AO39+AQ39+AT39+AU39+AV39+AW39+AX39+AY39+AZ39+BA39+BB39+BC39+BD39+BE39+BF39+BH39+BG39+AP39</f>
        <v>11334.05</v>
      </c>
      <c r="BJ39" s="15"/>
      <c r="BK39" s="15"/>
      <c r="BL39" s="24">
        <f>ROUND(BI39/D39,2)</f>
        <v>2266.81</v>
      </c>
      <c r="BM39" s="646" t="s">
        <v>74</v>
      </c>
      <c r="BN39" s="81">
        <f t="shared" si="26"/>
        <v>0</v>
      </c>
      <c r="BO39" s="81">
        <f t="shared" si="26"/>
        <v>0</v>
      </c>
      <c r="BP39" s="81">
        <f>Z39+AB39+AC39</f>
        <v>0</v>
      </c>
      <c r="BQ39" s="58">
        <f t="shared" si="24"/>
        <v>4075</v>
      </c>
      <c r="BR39" s="81">
        <f t="shared" si="25"/>
        <v>6316</v>
      </c>
      <c r="BS39" s="81">
        <f>AD39+AE39+AF39+AG39+AH39+AI39+AJ39+AK39+AM39+AN39+AO39+AQ39+AR39+AT39+AU39+AV39+AW39+AX39+AY39+AZ39+BA39+BB39+BC39+BD39+BE39+AP39</f>
        <v>943.05</v>
      </c>
      <c r="BT39" s="58">
        <f>BN39+BO39+BP39+BQ39+BS39+BR39</f>
        <v>11334.05</v>
      </c>
    </row>
    <row r="40" spans="1:72" ht="67.900000000000006" customHeight="1">
      <c r="A40" s="652"/>
      <c r="B40" s="649"/>
      <c r="C40" s="9" t="s">
        <v>112</v>
      </c>
      <c r="D40" s="614">
        <v>52</v>
      </c>
      <c r="E40" s="645"/>
      <c r="F40" s="15"/>
      <c r="G40" s="15"/>
      <c r="H40" s="15"/>
      <c r="I40" s="15"/>
      <c r="J40" s="15"/>
      <c r="K40" s="15"/>
      <c r="L40" s="15"/>
      <c r="M40" s="37">
        <f>ROUND(BF40/D40,2)</f>
        <v>121.46</v>
      </c>
      <c r="N40" s="37"/>
      <c r="O40" s="37">
        <f t="shared" si="27"/>
        <v>78.37</v>
      </c>
      <c r="P40" s="37"/>
      <c r="Q40" s="15"/>
      <c r="R40" s="15"/>
      <c r="S40" s="15"/>
      <c r="T40" s="7"/>
      <c r="U40" s="64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>
        <f t="shared" si="19"/>
        <v>0</v>
      </c>
      <c r="AM40" s="15"/>
      <c r="AN40" s="15"/>
      <c r="AO40" s="15"/>
      <c r="AP40" s="15"/>
      <c r="AQ40" s="15"/>
      <c r="AR40" s="12"/>
      <c r="AS40" s="64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>
        <v>6316</v>
      </c>
      <c r="BG40" s="15"/>
      <c r="BH40" s="224">
        <v>4075</v>
      </c>
      <c r="BI40" s="15"/>
      <c r="BJ40" s="15"/>
      <c r="BK40" s="15"/>
      <c r="BL40" s="24"/>
      <c r="BM40" s="647"/>
      <c r="BN40" s="81"/>
      <c r="BO40" s="81"/>
      <c r="BP40" s="81"/>
      <c r="BQ40" s="58">
        <f t="shared" si="24"/>
        <v>4075</v>
      </c>
      <c r="BR40" s="81">
        <f t="shared" si="25"/>
        <v>6316</v>
      </c>
      <c r="BS40" s="81"/>
      <c r="BT40" s="58"/>
    </row>
    <row r="41" spans="1:72" ht="30" customHeight="1">
      <c r="A41" s="651" t="s">
        <v>359</v>
      </c>
      <c r="B41" s="648"/>
      <c r="C41" s="9" t="s">
        <v>172</v>
      </c>
      <c r="D41" s="614">
        <v>37</v>
      </c>
      <c r="E41" s="644" t="s">
        <v>134</v>
      </c>
      <c r="F41" s="205">
        <f>ROUND((V41+W41)/D41,3)</f>
        <v>0</v>
      </c>
      <c r="G41" s="205">
        <f>ROUND((X41+Y41)/D41,3)</f>
        <v>0</v>
      </c>
      <c r="H41" s="205">
        <f>F41+G41</f>
        <v>0</v>
      </c>
      <c r="I41" s="205">
        <f>ROUND((AL41-AK41)/D41,3)</f>
        <v>151.08099999999999</v>
      </c>
      <c r="J41" s="205">
        <f>ROUND((AM41+AN41+AO41+AQ41+AR41+AP41)/D41,3)</f>
        <v>0</v>
      </c>
      <c r="K41" s="205">
        <f>ROUND((AT41+AU41+AV41+AW41+AX41)/D41,3)</f>
        <v>0</v>
      </c>
      <c r="L41" s="205">
        <f>ROUND((BA41+BB41)/D41,3)</f>
        <v>0</v>
      </c>
      <c r="M41" s="213">
        <f>ROUND(BF41/D41,3)</f>
        <v>1123.297</v>
      </c>
      <c r="N41" s="213">
        <f>BG41/D41</f>
        <v>0</v>
      </c>
      <c r="O41" s="37">
        <f>ROUND(BH41/D41,3)</f>
        <v>724.70299999999997</v>
      </c>
      <c r="P41" s="213">
        <f>ROUND(AK41/D41,3)</f>
        <v>16.216000000000001</v>
      </c>
      <c r="Q41" s="205">
        <f>P41+O41+M41+L41+K41+J41+I41+H41+N41</f>
        <v>2015.2969999999998</v>
      </c>
      <c r="R41" s="205">
        <f>ROUND((Z41+AB41+AC41)/D41,2)</f>
        <v>0</v>
      </c>
      <c r="S41" s="205">
        <f>ROUND((AY41+BE41)/D41,3)</f>
        <v>0</v>
      </c>
      <c r="T41" s="24">
        <f t="shared" si="22"/>
        <v>2015.2969999999998</v>
      </c>
      <c r="U41" s="644" t="s">
        <v>134</v>
      </c>
      <c r="V41" s="15"/>
      <c r="W41" s="15"/>
      <c r="X41" s="15"/>
      <c r="Y41" s="15"/>
      <c r="Z41" s="15"/>
      <c r="AA41" s="15"/>
      <c r="AB41" s="15"/>
      <c r="AC41" s="15"/>
      <c r="AD41" s="15">
        <v>890</v>
      </c>
      <c r="AE41" s="15"/>
      <c r="AF41" s="15"/>
      <c r="AG41" s="15"/>
      <c r="AH41" s="15"/>
      <c r="AI41" s="15"/>
      <c r="AJ41" s="15">
        <v>4700</v>
      </c>
      <c r="AK41" s="15">
        <v>600</v>
      </c>
      <c r="AL41" s="15">
        <f t="shared" si="19"/>
        <v>6190</v>
      </c>
      <c r="AM41" s="15"/>
      <c r="AN41" s="15"/>
      <c r="AO41" s="15"/>
      <c r="AP41" s="15"/>
      <c r="AQ41" s="15"/>
      <c r="AR41" s="12"/>
      <c r="AS41" s="644" t="s">
        <v>134</v>
      </c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537">
        <v>41562</v>
      </c>
      <c r="BG41" s="15"/>
      <c r="BH41" s="224">
        <v>26814</v>
      </c>
      <c r="BI41" s="205">
        <f>V41+W41+X41+Y41+Z41+AB41+AC41+AL41+AM41+AN41+AO41+AQ41+AT41+AU41+AV41+AW41+AX41+AY41+AZ41+BA41+BB41+BC41+BD41+BE41+BF41+BH41+BG41+AP41</f>
        <v>74566</v>
      </c>
      <c r="BJ41" s="15"/>
      <c r="BK41" s="15"/>
      <c r="BL41" s="24">
        <f>ROUND(BI41/D41,2)</f>
        <v>2015.3</v>
      </c>
      <c r="BM41" s="646" t="s">
        <v>134</v>
      </c>
      <c r="BN41" s="81">
        <f>V41+X41</f>
        <v>0</v>
      </c>
      <c r="BO41" s="81">
        <f>W41+Y41</f>
        <v>0</v>
      </c>
      <c r="BP41" s="81">
        <f>Z41+AB41+AC41</f>
        <v>0</v>
      </c>
      <c r="BQ41" s="81">
        <f t="shared" si="24"/>
        <v>26814</v>
      </c>
      <c r="BR41" s="81">
        <f t="shared" si="25"/>
        <v>41562</v>
      </c>
      <c r="BS41" s="81">
        <f>AD41+AE41+AF41+AG41+AH41+AI41+AJ41+AK41+AM41+AN41+AO41+AQ41+AR41+AT41+AU41+AV41+AW41+AX41+AY41+AZ41+BA41+BB41+BC41+BD41+BE41+AP41</f>
        <v>6190</v>
      </c>
      <c r="BT41" s="58">
        <f>BN41+BO41+BP41+BQ41+BS41+BR41</f>
        <v>74566</v>
      </c>
    </row>
    <row r="42" spans="1:72" ht="81.599999999999994" customHeight="1">
      <c r="A42" s="652"/>
      <c r="B42" s="649"/>
      <c r="C42" s="9" t="s">
        <v>112</v>
      </c>
      <c r="D42" s="614">
        <v>329</v>
      </c>
      <c r="E42" s="645"/>
      <c r="F42" s="15"/>
      <c r="G42" s="15"/>
      <c r="H42" s="15"/>
      <c r="I42" s="15"/>
      <c r="J42" s="15"/>
      <c r="K42" s="15"/>
      <c r="L42" s="15"/>
      <c r="M42" s="37">
        <f>ROUND(BF42/D42,2)</f>
        <v>126.33</v>
      </c>
      <c r="N42" s="37"/>
      <c r="O42" s="37">
        <f t="shared" si="27"/>
        <v>81.5</v>
      </c>
      <c r="P42" s="37"/>
      <c r="Q42" s="15"/>
      <c r="R42" s="15"/>
      <c r="S42" s="15"/>
      <c r="T42" s="7"/>
      <c r="U42" s="64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>
        <f t="shared" si="19"/>
        <v>0</v>
      </c>
      <c r="AM42" s="15"/>
      <c r="AN42" s="15"/>
      <c r="AO42" s="15"/>
      <c r="AP42" s="15"/>
      <c r="AQ42" s="15"/>
      <c r="AR42" s="12"/>
      <c r="AS42" s="64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>
        <v>41562</v>
      </c>
      <c r="BG42" s="15"/>
      <c r="BH42" s="224">
        <v>26814</v>
      </c>
      <c r="BI42" s="15"/>
      <c r="BJ42" s="15"/>
      <c r="BK42" s="15"/>
      <c r="BL42" s="24"/>
      <c r="BM42" s="647"/>
      <c r="BN42" s="81"/>
      <c r="BO42" s="81"/>
      <c r="BP42" s="81"/>
      <c r="BQ42" s="81">
        <f t="shared" si="24"/>
        <v>26814</v>
      </c>
      <c r="BR42" s="81">
        <f t="shared" si="25"/>
        <v>41562</v>
      </c>
      <c r="BS42" s="81"/>
      <c r="BT42" s="58"/>
    </row>
    <row r="43" spans="1:72" ht="43.15" customHeight="1">
      <c r="A43" s="651" t="s">
        <v>359</v>
      </c>
      <c r="B43" s="658"/>
      <c r="C43" s="192" t="s">
        <v>172</v>
      </c>
      <c r="D43" s="614">
        <v>2</v>
      </c>
      <c r="E43" s="644" t="s">
        <v>80</v>
      </c>
      <c r="F43" s="205">
        <f>ROUND((V43+W43)/D43,3)</f>
        <v>0</v>
      </c>
      <c r="G43" s="205">
        <f>ROUND((X43+Y43)/D43,3)</f>
        <v>0</v>
      </c>
      <c r="H43" s="205">
        <f>F43+G43</f>
        <v>0</v>
      </c>
      <c r="I43" s="205">
        <f>ROUND((AL43-AK43)/D43,3)</f>
        <v>509</v>
      </c>
      <c r="J43" s="205">
        <f>ROUND((AM43+AN43+AO43+AQ43+AR43+AP43)/D43,3)</f>
        <v>0</v>
      </c>
      <c r="K43" s="205">
        <f>ROUND((AT43+AU43+AV43+AW43+AX43)/D43,3)</f>
        <v>0</v>
      </c>
      <c r="L43" s="205">
        <f>ROUND((BA43+BB43)/D43,3)</f>
        <v>0</v>
      </c>
      <c r="M43" s="213">
        <f>ROUND(BF43/D43,3)</f>
        <v>3474</v>
      </c>
      <c r="N43" s="213">
        <f>BG43/D43</f>
        <v>0</v>
      </c>
      <c r="O43" s="37">
        <f>ROUND(BH43/D43,3)</f>
        <v>2241.5</v>
      </c>
      <c r="P43" s="213">
        <f>ROUND(AK43/D43,3)</f>
        <v>0</v>
      </c>
      <c r="Q43" s="205">
        <f>P43+O43+M43+L43+K43+J43+I43+H43+N43</f>
        <v>6224.5</v>
      </c>
      <c r="R43" s="205">
        <f>ROUND((Z43+AB43+AC43)/D43,2)</f>
        <v>0</v>
      </c>
      <c r="S43" s="205">
        <f>ROUND((AY43+BE43)/D43,3)</f>
        <v>0</v>
      </c>
      <c r="T43" s="24">
        <f t="shared" ref="T43:T50" si="28">Q43+R43+S43</f>
        <v>6224.5</v>
      </c>
      <c r="U43" s="644" t="s">
        <v>80</v>
      </c>
      <c r="V43" s="15"/>
      <c r="W43" s="15"/>
      <c r="X43" s="15"/>
      <c r="Y43" s="15"/>
      <c r="Z43" s="15"/>
      <c r="AA43" s="15"/>
      <c r="AB43" s="15"/>
      <c r="AC43" s="15"/>
      <c r="AD43" s="15">
        <v>200</v>
      </c>
      <c r="AE43" s="15"/>
      <c r="AF43" s="15"/>
      <c r="AG43" s="15"/>
      <c r="AH43" s="15"/>
      <c r="AI43" s="15"/>
      <c r="AJ43" s="15">
        <v>818</v>
      </c>
      <c r="AK43" s="15"/>
      <c r="AL43" s="15">
        <f>AD43+AE43+AF43+AG43+AH43+AI43+AK43+AJ43</f>
        <v>1018</v>
      </c>
      <c r="AM43" s="15"/>
      <c r="AN43" s="15"/>
      <c r="AO43" s="15"/>
      <c r="AP43" s="15"/>
      <c r="AQ43" s="15"/>
      <c r="AR43" s="12"/>
      <c r="AS43" s="644" t="s">
        <v>80</v>
      </c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537">
        <v>6948</v>
      </c>
      <c r="BG43" s="15"/>
      <c r="BH43" s="224">
        <v>4483</v>
      </c>
      <c r="BI43" s="205">
        <f>V43+W43+X43+Y43+Z43+AB43+AC43+AL43+AM43+AN43+AO43+AQ43+AT43+AU43+AV43+AW43+AX43+AY43+AZ43+BA43+BB43+BC43+BD43+BE43+BF43+BH43+BG43+AP43</f>
        <v>12449</v>
      </c>
      <c r="BJ43" s="15"/>
      <c r="BK43" s="15"/>
      <c r="BL43" s="24">
        <f>ROUND(BI43/D43,2)</f>
        <v>6224.5</v>
      </c>
      <c r="BM43" s="646" t="s">
        <v>80</v>
      </c>
      <c r="BN43" s="58">
        <f>V43+X43</f>
        <v>0</v>
      </c>
      <c r="BO43" s="58">
        <f>W43+Y43</f>
        <v>0</v>
      </c>
      <c r="BP43" s="58">
        <f>Z43+AB43+AC43</f>
        <v>0</v>
      </c>
      <c r="BQ43" s="81">
        <f t="shared" si="24"/>
        <v>4483</v>
      </c>
      <c r="BR43" s="81">
        <f t="shared" si="25"/>
        <v>6948</v>
      </c>
      <c r="BS43" s="81">
        <f>AD43+AE43+AF43+AG43+AH43+AI43+AJ43+AK43+AM43+AN43+AO43+AQ43+AR43+AT43+AU43+AV43+AW43+AX43+AY43+AZ43+BA43+BB43+BC43+BD43+BE43+AP43</f>
        <v>1018</v>
      </c>
      <c r="BT43" s="58">
        <f>BN43+BO43+BP43+BQ43+BS43+BR43</f>
        <v>12449</v>
      </c>
    </row>
    <row r="44" spans="1:72" ht="65.45" customHeight="1">
      <c r="A44" s="652"/>
      <c r="B44" s="659"/>
      <c r="C44" s="192" t="s">
        <v>112</v>
      </c>
      <c r="D44" s="614">
        <v>55</v>
      </c>
      <c r="E44" s="645"/>
      <c r="F44" s="15"/>
      <c r="G44" s="15"/>
      <c r="H44" s="15"/>
      <c r="I44" s="15"/>
      <c r="J44" s="15"/>
      <c r="K44" s="15"/>
      <c r="L44" s="15"/>
      <c r="M44" s="37">
        <f>ROUND(BF44/D44,2)</f>
        <v>126.33</v>
      </c>
      <c r="N44" s="37"/>
      <c r="O44" s="37">
        <f t="shared" si="27"/>
        <v>81.510000000000005</v>
      </c>
      <c r="P44" s="37"/>
      <c r="Q44" s="15"/>
      <c r="R44" s="15"/>
      <c r="S44" s="15"/>
      <c r="T44" s="7"/>
      <c r="U44" s="64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f>AD44+AE44+AF44+AG44+AH44+AI44+AK44+AJ44</f>
        <v>0</v>
      </c>
      <c r="AM44" s="15"/>
      <c r="AN44" s="15"/>
      <c r="AO44" s="15"/>
      <c r="AP44" s="15"/>
      <c r="AQ44" s="15"/>
      <c r="AR44" s="12"/>
      <c r="AS44" s="64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>
        <v>6948</v>
      </c>
      <c r="BG44" s="15"/>
      <c r="BH44" s="224">
        <v>4483</v>
      </c>
      <c r="BI44" s="15"/>
      <c r="BJ44" s="15"/>
      <c r="BK44" s="15"/>
      <c r="BL44" s="24"/>
      <c r="BM44" s="647"/>
      <c r="BN44" s="58"/>
      <c r="BO44" s="58"/>
      <c r="BP44" s="58"/>
      <c r="BQ44" s="81">
        <f t="shared" si="24"/>
        <v>4483</v>
      </c>
      <c r="BR44" s="81">
        <f t="shared" si="25"/>
        <v>6948</v>
      </c>
      <c r="BS44" s="58"/>
      <c r="BT44" s="58"/>
    </row>
    <row r="45" spans="1:72" ht="47.25" customHeight="1">
      <c r="A45" s="651" t="s">
        <v>359</v>
      </c>
      <c r="B45" s="648"/>
      <c r="C45" s="9" t="s">
        <v>172</v>
      </c>
      <c r="D45" s="614">
        <v>20</v>
      </c>
      <c r="E45" s="644" t="s">
        <v>78</v>
      </c>
      <c r="F45" s="205">
        <f>ROUND((V45+W45)/D45,3)</f>
        <v>3619.9180000000001</v>
      </c>
      <c r="G45" s="205">
        <f>ROUND((X45+Y45)/D45,3)</f>
        <v>0</v>
      </c>
      <c r="H45" s="205">
        <f>F45+G45</f>
        <v>3619.9180000000001</v>
      </c>
      <c r="I45" s="205">
        <f>ROUND((AL45-AK45)/D45,3)</f>
        <v>120</v>
      </c>
      <c r="J45" s="205">
        <f>ROUND((AM45+AN45+AO45+AQ45+AR45+AP45)/D45,3)</f>
        <v>0</v>
      </c>
      <c r="K45" s="205">
        <f>ROUND((AT45+AU45+AV45+AW45+AX45)/D45,3)</f>
        <v>0</v>
      </c>
      <c r="L45" s="205">
        <f>ROUND((BA45+BB45)/D45,3)</f>
        <v>0</v>
      </c>
      <c r="M45" s="213">
        <f>ROUND(BF45/D45,3)</f>
        <v>879.798</v>
      </c>
      <c r="N45" s="213">
        <f>BG45/D45</f>
        <v>0</v>
      </c>
      <c r="O45" s="37">
        <f>ROUND(BH45/D45,3)</f>
        <v>591.83699999999999</v>
      </c>
      <c r="P45" s="213">
        <f>ROUND(AK45/D45,3)</f>
        <v>100.15</v>
      </c>
      <c r="Q45" s="205">
        <f>P45+O45+M45+L45+K45+J45+I45+H45+N45</f>
        <v>5311.7029999999995</v>
      </c>
      <c r="R45" s="205">
        <f>ROUND((Z45+AB45+AC45)/D45,2)</f>
        <v>0</v>
      </c>
      <c r="S45" s="205">
        <f>ROUND((AY45+BE45)/D45,3)</f>
        <v>0</v>
      </c>
      <c r="T45" s="24">
        <f t="shared" si="28"/>
        <v>5311.7029999999995</v>
      </c>
      <c r="U45" s="644" t="s">
        <v>78</v>
      </c>
      <c r="V45" s="72">
        <v>55606.13</v>
      </c>
      <c r="W45" s="72">
        <v>16792.23</v>
      </c>
      <c r="X45" s="15"/>
      <c r="Y45" s="15"/>
      <c r="Z45" s="15"/>
      <c r="AA45" s="15"/>
      <c r="AB45" s="15"/>
      <c r="AC45" s="15"/>
      <c r="AD45" s="72">
        <v>2400</v>
      </c>
      <c r="AE45" s="15"/>
      <c r="AF45" s="15"/>
      <c r="AG45" s="15"/>
      <c r="AH45" s="15"/>
      <c r="AI45" s="15"/>
      <c r="AJ45" s="72"/>
      <c r="AK45" s="15">
        <v>2003</v>
      </c>
      <c r="AL45" s="15">
        <f>AD45+AE45+AF45+AG45+AH45+AI45+AK45+AJ45</f>
        <v>4403</v>
      </c>
      <c r="AM45" s="15"/>
      <c r="AN45" s="15"/>
      <c r="AO45" s="15"/>
      <c r="AP45" s="15"/>
      <c r="AQ45" s="15"/>
      <c r="AR45" s="12"/>
      <c r="AS45" s="644" t="s">
        <v>78</v>
      </c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538">
        <v>17595.95</v>
      </c>
      <c r="BG45" s="72"/>
      <c r="BH45" s="345">
        <v>11836.73</v>
      </c>
      <c r="BI45" s="205">
        <f>V45+W45+X45+Y45+Z45+AB45+AC45+AL45+AM45+AN45+AO45+AQ45+AT45+AU45+AV45+AW45+AX45+AY45+AZ45+BA45+BB45+BC45+BD45+BE45+BF45+BH45+BG45+AP45</f>
        <v>106234.04</v>
      </c>
      <c r="BJ45" s="15"/>
      <c r="BK45" s="15"/>
      <c r="BL45" s="24">
        <f>ROUND(BI45/D45,2)</f>
        <v>5311.7</v>
      </c>
      <c r="BM45" s="644" t="s">
        <v>78</v>
      </c>
      <c r="BN45" s="81">
        <f>V45+X45</f>
        <v>55606.13</v>
      </c>
      <c r="BO45" s="81">
        <f>W45+Y45</f>
        <v>16792.23</v>
      </c>
      <c r="BP45" s="81">
        <f>Z45+AB45+AC45</f>
        <v>0</v>
      </c>
      <c r="BQ45" s="81">
        <f>BH45</f>
        <v>11836.73</v>
      </c>
      <c r="BR45" s="81">
        <f>BF45+BG45</f>
        <v>17595.95</v>
      </c>
      <c r="BS45" s="81">
        <f>AD45+AE45+AF45+AG45+AH45+AI45+AJ45+AK45+AM45+AN45+AO45+AQ45+AR45+AT45+AU45+AV45+AW45+AX45+AY45+AZ45+BA45+BB45+BC45+BD45+BE45+AP45</f>
        <v>4403</v>
      </c>
      <c r="BT45" s="58">
        <f>BN45+BO45+BP45+BQ45+BS45+BR45</f>
        <v>106234.04</v>
      </c>
    </row>
    <row r="46" spans="1:72" ht="70.150000000000006" customHeight="1">
      <c r="A46" s="652"/>
      <c r="B46" s="649"/>
      <c r="C46" s="9" t="s">
        <v>112</v>
      </c>
      <c r="D46" s="614">
        <v>139</v>
      </c>
      <c r="E46" s="645"/>
      <c r="F46" s="15"/>
      <c r="G46" s="15"/>
      <c r="H46" s="15"/>
      <c r="I46" s="15"/>
      <c r="J46" s="15"/>
      <c r="K46" s="15"/>
      <c r="L46" s="15"/>
      <c r="M46" s="37">
        <f>ROUND(BF46/D46,2)</f>
        <v>126.59</v>
      </c>
      <c r="N46" s="37"/>
      <c r="O46" s="37">
        <f t="shared" si="27"/>
        <v>85.16</v>
      </c>
      <c r="P46" s="37"/>
      <c r="Q46" s="15"/>
      <c r="R46" s="15"/>
      <c r="S46" s="15"/>
      <c r="T46" s="7"/>
      <c r="U46" s="64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>
        <f>AD46+AE46+AF46+AG46+AH46+AI46+AK46+AJ46</f>
        <v>0</v>
      </c>
      <c r="AM46" s="15"/>
      <c r="AN46" s="15"/>
      <c r="AO46" s="15"/>
      <c r="AP46" s="15"/>
      <c r="AQ46" s="15"/>
      <c r="AR46" s="12"/>
      <c r="AS46" s="64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538">
        <v>17595.95</v>
      </c>
      <c r="BG46" s="72"/>
      <c r="BH46" s="345">
        <v>11836.73</v>
      </c>
      <c r="BI46" s="15"/>
      <c r="BJ46" s="15"/>
      <c r="BK46" s="15"/>
      <c r="BL46" s="24"/>
      <c r="BM46" s="645"/>
      <c r="BN46" s="81"/>
      <c r="BO46" s="81"/>
      <c r="BP46" s="81"/>
      <c r="BQ46" s="81">
        <f>BH46</f>
        <v>11836.73</v>
      </c>
      <c r="BR46" s="81">
        <f>BF46+BG46</f>
        <v>17595.95</v>
      </c>
      <c r="BS46" s="81"/>
      <c r="BT46" s="58"/>
    </row>
    <row r="47" spans="1:72" ht="25.15" customHeight="1">
      <c r="A47" s="654" t="s">
        <v>177</v>
      </c>
      <c r="B47" s="655"/>
      <c r="C47" s="656"/>
      <c r="D47" s="546">
        <f>D29+D31+D33+D35+D37+D39+D41+D43+D45+D27</f>
        <v>1259</v>
      </c>
      <c r="E47" s="551"/>
      <c r="F47" s="540">
        <f>ROUND((V47+W47)/D47,3)</f>
        <v>9517.4740000000002</v>
      </c>
      <c r="G47" s="540">
        <f>ROUND((X47+Y47)/D47,3)</f>
        <v>3416.248</v>
      </c>
      <c r="H47" s="540">
        <f>F47+G47</f>
        <v>12933.722</v>
      </c>
      <c r="I47" s="540">
        <f>ROUND((AL47-AK47)/D47,3)</f>
        <v>198.113</v>
      </c>
      <c r="J47" s="540">
        <f>ROUND((AM47+AN47+AO47+AQ47+AR47+AP47)/D47,3)</f>
        <v>103.209</v>
      </c>
      <c r="K47" s="540">
        <f>ROUND((AT47+AU47+AV47+AW47+AX47)/D47,3)</f>
        <v>100.26300000000001</v>
      </c>
      <c r="L47" s="540">
        <f>ROUND((BA47+BB47)/D47,3)</f>
        <v>54.706000000000003</v>
      </c>
      <c r="M47" s="541">
        <f>ROUND(BF47/D47,3)</f>
        <v>1752.1079999999999</v>
      </c>
      <c r="N47" s="541">
        <f>BG47/D47</f>
        <v>7.799046862589357</v>
      </c>
      <c r="O47" s="392">
        <f>ROUND(BH47/D47,3)</f>
        <v>1460.201</v>
      </c>
      <c r="P47" s="541">
        <f>ROUND(AK47/D47,3)</f>
        <v>32.837000000000003</v>
      </c>
      <c r="Q47" s="540">
        <f>P47+O47+M47+L47+K47+J47+I47+H47+N47</f>
        <v>16642.95804686259</v>
      </c>
      <c r="R47" s="540">
        <f>ROUND((Z47+AB47+AC47+AA47)/D47,2)</f>
        <v>1226.44</v>
      </c>
      <c r="S47" s="540">
        <f>ROUND((AY47+BE47)/D47,3)</f>
        <v>6.3540000000000001</v>
      </c>
      <c r="T47" s="389">
        <f t="shared" si="28"/>
        <v>17875.752046862588</v>
      </c>
      <c r="U47" s="551"/>
      <c r="V47" s="536">
        <f>V27+V29+V31+V33+V35+V37+V39+V41+V43+V45</f>
        <v>9140234.6300000008</v>
      </c>
      <c r="W47" s="536">
        <f t="shared" ref="W47:AR47" si="29">W27+W29+W31+W33+W35+W37+W39+W41+W43+W45</f>
        <v>2842265.53</v>
      </c>
      <c r="X47" s="536">
        <f t="shared" si="29"/>
        <v>3303422</v>
      </c>
      <c r="Y47" s="536">
        <f t="shared" si="29"/>
        <v>997634</v>
      </c>
      <c r="Z47" s="536">
        <f t="shared" si="29"/>
        <v>603941</v>
      </c>
      <c r="AA47" s="536">
        <f t="shared" si="29"/>
        <v>1042</v>
      </c>
      <c r="AB47" s="536">
        <f>AB27+AB29+AB31+AB33+AB35+AB37+AB39+AB41+AB43+AB45</f>
        <v>657044</v>
      </c>
      <c r="AC47" s="536">
        <f t="shared" si="29"/>
        <v>282063</v>
      </c>
      <c r="AD47" s="536">
        <f t="shared" si="29"/>
        <v>85591.82</v>
      </c>
      <c r="AE47" s="536">
        <f t="shared" si="29"/>
        <v>1500</v>
      </c>
      <c r="AF47" s="536">
        <f t="shared" si="29"/>
        <v>30020</v>
      </c>
      <c r="AG47" s="536">
        <f t="shared" si="29"/>
        <v>200</v>
      </c>
      <c r="AH47" s="536">
        <f t="shared" si="29"/>
        <v>1500</v>
      </c>
      <c r="AI47" s="536">
        <f t="shared" si="29"/>
        <v>101698</v>
      </c>
      <c r="AJ47" s="536">
        <f t="shared" si="29"/>
        <v>28914</v>
      </c>
      <c r="AK47" s="536">
        <f t="shared" si="29"/>
        <v>41342</v>
      </c>
      <c r="AL47" s="536">
        <f t="shared" si="29"/>
        <v>290765.82</v>
      </c>
      <c r="AM47" s="536">
        <f t="shared" si="29"/>
        <v>21712</v>
      </c>
      <c r="AN47" s="536">
        <f t="shared" si="29"/>
        <v>0</v>
      </c>
      <c r="AO47" s="536">
        <f t="shared" si="29"/>
        <v>95200</v>
      </c>
      <c r="AP47" s="536">
        <f t="shared" si="29"/>
        <v>10428</v>
      </c>
      <c r="AQ47" s="536">
        <f t="shared" si="29"/>
        <v>2600</v>
      </c>
      <c r="AR47" s="552">
        <f t="shared" si="29"/>
        <v>0</v>
      </c>
      <c r="AS47" s="551"/>
      <c r="AT47" s="536">
        <f t="shared" ref="AT47:BI47" si="30">AT27+AT29+AT31+AT33+AT35+AT37+AT39+AT41+AT43+AT45</f>
        <v>20402</v>
      </c>
      <c r="AU47" s="536">
        <f t="shared" si="30"/>
        <v>37970</v>
      </c>
      <c r="AV47" s="536">
        <f t="shared" si="30"/>
        <v>67859</v>
      </c>
      <c r="AW47" s="536">
        <f t="shared" si="30"/>
        <v>0</v>
      </c>
      <c r="AX47" s="536">
        <f t="shared" si="30"/>
        <v>0</v>
      </c>
      <c r="AY47" s="536">
        <f t="shared" si="30"/>
        <v>5000</v>
      </c>
      <c r="AZ47" s="536">
        <f t="shared" si="30"/>
        <v>0</v>
      </c>
      <c r="BA47" s="536">
        <f t="shared" si="30"/>
        <v>68874.23</v>
      </c>
      <c r="BB47" s="370">
        <f t="shared" si="30"/>
        <v>0</v>
      </c>
      <c r="BC47" s="536">
        <f t="shared" si="30"/>
        <v>0</v>
      </c>
      <c r="BD47" s="536">
        <f t="shared" si="30"/>
        <v>0</v>
      </c>
      <c r="BE47" s="536">
        <f t="shared" si="30"/>
        <v>3000</v>
      </c>
      <c r="BF47" s="536">
        <f t="shared" si="30"/>
        <v>2205904.4500000002</v>
      </c>
      <c r="BG47" s="536">
        <f t="shared" si="30"/>
        <v>9819</v>
      </c>
      <c r="BH47" s="536">
        <f t="shared" si="30"/>
        <v>1838392.48</v>
      </c>
      <c r="BI47" s="536">
        <f t="shared" si="30"/>
        <v>22505573.139999997</v>
      </c>
      <c r="BJ47" s="536"/>
      <c r="BK47" s="536"/>
      <c r="BL47" s="389">
        <f>ROUND(BI47/D47,3)</f>
        <v>17875.753000000001</v>
      </c>
      <c r="BM47" s="553"/>
      <c r="BN47" s="536">
        <f t="shared" ref="BN47:BT47" si="31">BN27+BN29+BN31+BN33+BN35+BN37+BN39+BN41+BN43+BN45</f>
        <v>12443656.630000001</v>
      </c>
      <c r="BO47" s="536">
        <f t="shared" si="31"/>
        <v>3839899.53</v>
      </c>
      <c r="BP47" s="536">
        <f t="shared" si="31"/>
        <v>1544090</v>
      </c>
      <c r="BQ47" s="536">
        <f t="shared" si="31"/>
        <v>1838392.48</v>
      </c>
      <c r="BR47" s="536">
        <f t="shared" si="31"/>
        <v>2215723.4500000002</v>
      </c>
      <c r="BS47" s="536">
        <f t="shared" si="31"/>
        <v>623811.05000000005</v>
      </c>
      <c r="BT47" s="536">
        <f t="shared" si="31"/>
        <v>22505573.139999997</v>
      </c>
    </row>
    <row r="48" spans="1:72" ht="47.45" customHeight="1">
      <c r="A48" s="651" t="s">
        <v>359</v>
      </c>
      <c r="B48" s="648"/>
      <c r="C48" s="9" t="s">
        <v>172</v>
      </c>
      <c r="D48" s="614">
        <v>8</v>
      </c>
      <c r="E48" s="644" t="s">
        <v>180</v>
      </c>
      <c r="F48" s="15">
        <f>ROUND((V48+W48)/D48,3)</f>
        <v>5884.375</v>
      </c>
      <c r="G48" s="15">
        <f>ROUND((X48+Y48)/D48,2)</f>
        <v>0</v>
      </c>
      <c r="H48" s="15">
        <f>F48+G48</f>
        <v>5884.375</v>
      </c>
      <c r="I48" s="205">
        <f>ROUND((AL48-AK48)/D48,3)</f>
        <v>60.625</v>
      </c>
      <c r="J48" s="15">
        <f>ROUND((AM48+AN48+AO48+AQ48+AR48)/D48,2)</f>
        <v>0</v>
      </c>
      <c r="K48" s="15">
        <f>ROUND((AT48+AU48+AV48+AW48+AX48)/D48,2)</f>
        <v>0</v>
      </c>
      <c r="L48" s="15">
        <f>ROUND((BA48+BB48)/D48,2)</f>
        <v>0</v>
      </c>
      <c r="M48" s="37">
        <f>ROUND(BF48/D48,3)</f>
        <v>2780.7</v>
      </c>
      <c r="N48" s="37">
        <v>0</v>
      </c>
      <c r="O48" s="37">
        <f>ROUND(BH48/D48,3)</f>
        <v>7030.6</v>
      </c>
      <c r="P48" s="213">
        <f>ROUND(AK48/D48,2)</f>
        <v>37.380000000000003</v>
      </c>
      <c r="Q48" s="15">
        <f>P48+O48+M48+L48+K48+J48+I48+H48+N48</f>
        <v>15793.68</v>
      </c>
      <c r="R48" s="15">
        <f>ROUND((Z48+AB48+AC48)/D48,2)</f>
        <v>0</v>
      </c>
      <c r="S48" s="15">
        <f>ROUND((AY48+BE48)/D48,2)</f>
        <v>0</v>
      </c>
      <c r="T48" s="24">
        <f t="shared" si="28"/>
        <v>15793.68</v>
      </c>
      <c r="U48" s="644" t="s">
        <v>180</v>
      </c>
      <c r="V48" s="15">
        <v>36156</v>
      </c>
      <c r="W48" s="15">
        <v>10919</v>
      </c>
      <c r="X48" s="15">
        <v>0</v>
      </c>
      <c r="Y48" s="15">
        <v>0</v>
      </c>
      <c r="Z48" s="15">
        <v>0</v>
      </c>
      <c r="AA48" s="15"/>
      <c r="AB48" s="15">
        <v>0</v>
      </c>
      <c r="AC48" s="15">
        <v>0</v>
      </c>
      <c r="AD48" s="15">
        <v>485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f>784-485</f>
        <v>299</v>
      </c>
      <c r="AL48" s="15">
        <f>AD48+AE48+AF48+AG48+AH48+AI48+AK48+AJ48</f>
        <v>784</v>
      </c>
      <c r="AM48" s="15">
        <v>0</v>
      </c>
      <c r="AN48" s="15">
        <v>0</v>
      </c>
      <c r="AO48" s="15">
        <v>0</v>
      </c>
      <c r="AP48" s="15"/>
      <c r="AQ48" s="15">
        <v>0</v>
      </c>
      <c r="AR48" s="12"/>
      <c r="AS48" s="644" t="s">
        <v>180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/>
      <c r="BD48" s="15"/>
      <c r="BE48" s="15">
        <v>0</v>
      </c>
      <c r="BF48" s="15">
        <v>22245.599999999999</v>
      </c>
      <c r="BG48" s="15">
        <v>0</v>
      </c>
      <c r="BH48" s="15">
        <v>56244.800000000003</v>
      </c>
      <c r="BI48" s="205">
        <f>V48+W48+X48+Y48+Z48+AB48+AC48+AL48+AM48+AN48+AO48+AQ48+AT48+AU48+AV48+AW48+AX48+AY48+AZ48+BA48+BB48+BC48+BD48+BE48+BF48+BH48+BG48+AP48</f>
        <v>126349.40000000001</v>
      </c>
      <c r="BJ48" s="15"/>
      <c r="BK48" s="15"/>
      <c r="BL48" s="24">
        <f>ROUND(BI48/D48,3)</f>
        <v>15793.674999999999</v>
      </c>
      <c r="BM48" s="646" t="s">
        <v>180</v>
      </c>
      <c r="BN48" s="91">
        <f>V48+X48</f>
        <v>36156</v>
      </c>
      <c r="BO48" s="91">
        <f>W48+Y48</f>
        <v>10919</v>
      </c>
      <c r="BP48" s="91">
        <f>Z48+AB48+AC48</f>
        <v>0</v>
      </c>
      <c r="BQ48" s="91">
        <f>BH48</f>
        <v>56244.800000000003</v>
      </c>
      <c r="BR48" s="91">
        <f>BF48+BG48</f>
        <v>22245.599999999999</v>
      </c>
      <c r="BS48" s="81">
        <f>AD48+AE48+AF48+AG48+AH48+AI48+AJ48+AK48+AM48+AN48+AO48+AQ48+AR48+AT48+AU48+AV48+AW48+AX48+AY48+AZ48+BA48+BB48+BC48+BD48+BE48+AP48</f>
        <v>784</v>
      </c>
      <c r="BT48" s="91">
        <f>BN48+BO48+BP48+BQ48+BS48+BR48</f>
        <v>126349.4</v>
      </c>
    </row>
    <row r="49" spans="1:72" ht="69.599999999999994" customHeight="1">
      <c r="A49" s="652"/>
      <c r="B49" s="649"/>
      <c r="C49" s="9" t="s">
        <v>112</v>
      </c>
      <c r="D49" s="614">
        <v>100</v>
      </c>
      <c r="E49" s="645"/>
      <c r="F49" s="15"/>
      <c r="G49" s="15"/>
      <c r="H49" s="15"/>
      <c r="I49" s="15"/>
      <c r="J49" s="15"/>
      <c r="K49" s="15"/>
      <c r="L49" s="15"/>
      <c r="M49" s="37">
        <f>ROUND(BF49/D49,2)</f>
        <v>222.46</v>
      </c>
      <c r="N49" s="37"/>
      <c r="O49" s="37">
        <f>ROUND(BH49/D49,2)</f>
        <v>562.45000000000005</v>
      </c>
      <c r="P49" s="37"/>
      <c r="Q49" s="15"/>
      <c r="R49" s="15"/>
      <c r="S49" s="15"/>
      <c r="T49" s="24"/>
      <c r="U49" s="64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>
        <f>AD49+AE49+AF49+AG49+AH49+AI49+AK49+AJ49</f>
        <v>0</v>
      </c>
      <c r="AM49" s="15"/>
      <c r="AN49" s="15"/>
      <c r="AO49" s="15"/>
      <c r="AP49" s="15"/>
      <c r="AQ49" s="15"/>
      <c r="AR49" s="12"/>
      <c r="AS49" s="64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>
        <v>22245.599999999999</v>
      </c>
      <c r="BG49" s="15">
        <v>0</v>
      </c>
      <c r="BH49" s="15">
        <v>56244.800000000003</v>
      </c>
      <c r="BI49" s="15"/>
      <c r="BJ49" s="15"/>
      <c r="BK49" s="15"/>
      <c r="BL49" s="24"/>
      <c r="BM49" s="647"/>
      <c r="BN49" s="58"/>
      <c r="BO49" s="58"/>
      <c r="BP49" s="58"/>
      <c r="BQ49" s="58">
        <f>BH49</f>
        <v>56244.800000000003</v>
      </c>
      <c r="BR49" s="58">
        <f>BF49+BG49</f>
        <v>22245.599999999999</v>
      </c>
      <c r="BS49" s="58"/>
      <c r="BT49" s="58"/>
    </row>
    <row r="50" spans="1:72" ht="27" customHeight="1">
      <c r="A50" s="653" t="s">
        <v>181</v>
      </c>
      <c r="B50" s="653"/>
      <c r="C50" s="653"/>
      <c r="D50" s="554">
        <f>D48</f>
        <v>8</v>
      </c>
      <c r="E50" s="555"/>
      <c r="F50" s="389">
        <f>ROUND((V50+W50)/D50,3)</f>
        <v>5884.375</v>
      </c>
      <c r="G50" s="389">
        <f>ROUND((X50+Y50)/D50,2)</f>
        <v>0</v>
      </c>
      <c r="H50" s="389">
        <f>F50+G50</f>
        <v>5884.375</v>
      </c>
      <c r="I50" s="544">
        <f>ROUND((AL50-AK50)/D50,3)</f>
        <v>60.625</v>
      </c>
      <c r="J50" s="389">
        <f>ROUND((AM50+AN50+AO50+AQ50+AR50)/D50,2)</f>
        <v>0</v>
      </c>
      <c r="K50" s="389">
        <f>ROUND((AT50+AU50+AV50+AW50+AX50)/D50,2)</f>
        <v>0</v>
      </c>
      <c r="L50" s="389">
        <f>ROUND((BA50+BB50)/D50,2)</f>
        <v>0</v>
      </c>
      <c r="M50" s="391">
        <f>ROUND(BF50/D50,3)</f>
        <v>2780.7</v>
      </c>
      <c r="N50" s="391"/>
      <c r="O50" s="391">
        <f>ROUND(BH50/D50,3)</f>
        <v>7030.6</v>
      </c>
      <c r="P50" s="545">
        <f>ROUND(AK50/D50,2)</f>
        <v>37.380000000000003</v>
      </c>
      <c r="Q50" s="389">
        <f>P50+O50+M50+L50+K50+J50+I50+H50+N50</f>
        <v>15793.68</v>
      </c>
      <c r="R50" s="389">
        <f>ROUND((Z50+AB50+AC50)/D50,2)</f>
        <v>0</v>
      </c>
      <c r="S50" s="389">
        <f>ROUND((AY50+BE50)/D50,2)</f>
        <v>0</v>
      </c>
      <c r="T50" s="389">
        <f t="shared" si="28"/>
        <v>15793.68</v>
      </c>
      <c r="U50" s="555"/>
      <c r="V50" s="370">
        <f>V48</f>
        <v>36156</v>
      </c>
      <c r="W50" s="370">
        <f t="shared" ref="W50:BI50" si="32">W48</f>
        <v>10919</v>
      </c>
      <c r="X50" s="370">
        <f t="shared" si="32"/>
        <v>0</v>
      </c>
      <c r="Y50" s="370">
        <f t="shared" si="32"/>
        <v>0</v>
      </c>
      <c r="Z50" s="370">
        <f t="shared" si="32"/>
        <v>0</v>
      </c>
      <c r="AA50" s="370">
        <f t="shared" si="32"/>
        <v>0</v>
      </c>
      <c r="AB50" s="370">
        <f t="shared" si="32"/>
        <v>0</v>
      </c>
      <c r="AC50" s="370">
        <f t="shared" si="32"/>
        <v>0</v>
      </c>
      <c r="AD50" s="370">
        <f t="shared" si="32"/>
        <v>485</v>
      </c>
      <c r="AE50" s="370">
        <f t="shared" si="32"/>
        <v>0</v>
      </c>
      <c r="AF50" s="370">
        <f t="shared" si="32"/>
        <v>0</v>
      </c>
      <c r="AG50" s="370">
        <f t="shared" si="32"/>
        <v>0</v>
      </c>
      <c r="AH50" s="370">
        <f t="shared" si="32"/>
        <v>0</v>
      </c>
      <c r="AI50" s="370">
        <f t="shared" si="32"/>
        <v>0</v>
      </c>
      <c r="AJ50" s="370">
        <f t="shared" si="32"/>
        <v>0</v>
      </c>
      <c r="AK50" s="370">
        <f t="shared" si="32"/>
        <v>299</v>
      </c>
      <c r="AL50" s="370">
        <f t="shared" si="32"/>
        <v>784</v>
      </c>
      <c r="AM50" s="370">
        <f t="shared" si="32"/>
        <v>0</v>
      </c>
      <c r="AN50" s="370">
        <f t="shared" si="32"/>
        <v>0</v>
      </c>
      <c r="AO50" s="370">
        <f t="shared" si="32"/>
        <v>0</v>
      </c>
      <c r="AP50" s="370">
        <f t="shared" si="32"/>
        <v>0</v>
      </c>
      <c r="AQ50" s="370">
        <f t="shared" si="32"/>
        <v>0</v>
      </c>
      <c r="AR50" s="394">
        <f t="shared" si="32"/>
        <v>0</v>
      </c>
      <c r="AS50" s="555"/>
      <c r="AT50" s="370">
        <f t="shared" si="32"/>
        <v>0</v>
      </c>
      <c r="AU50" s="370">
        <f t="shared" si="32"/>
        <v>0</v>
      </c>
      <c r="AV50" s="370">
        <f t="shared" si="32"/>
        <v>0</v>
      </c>
      <c r="AW50" s="370">
        <f t="shared" si="32"/>
        <v>0</v>
      </c>
      <c r="AX50" s="370">
        <f t="shared" si="32"/>
        <v>0</v>
      </c>
      <c r="AY50" s="370">
        <f t="shared" si="32"/>
        <v>0</v>
      </c>
      <c r="AZ50" s="370">
        <f t="shared" si="32"/>
        <v>0</v>
      </c>
      <c r="BA50" s="370">
        <f t="shared" si="32"/>
        <v>0</v>
      </c>
      <c r="BB50" s="370">
        <f t="shared" si="32"/>
        <v>0</v>
      </c>
      <c r="BC50" s="370">
        <f t="shared" si="32"/>
        <v>0</v>
      </c>
      <c r="BD50" s="370">
        <f t="shared" si="32"/>
        <v>0</v>
      </c>
      <c r="BE50" s="370">
        <f t="shared" si="32"/>
        <v>0</v>
      </c>
      <c r="BF50" s="370">
        <f t="shared" si="32"/>
        <v>22245.599999999999</v>
      </c>
      <c r="BG50" s="370">
        <f t="shared" si="32"/>
        <v>0</v>
      </c>
      <c r="BH50" s="370">
        <f t="shared" si="32"/>
        <v>56244.800000000003</v>
      </c>
      <c r="BI50" s="370">
        <f t="shared" si="32"/>
        <v>126349.40000000001</v>
      </c>
      <c r="BJ50" s="556"/>
      <c r="BK50" s="556"/>
      <c r="BL50" s="389">
        <f>ROUND(BI50/D50,3)</f>
        <v>15793.674999999999</v>
      </c>
      <c r="BM50" s="557"/>
      <c r="BN50" s="370">
        <f>BN48</f>
        <v>36156</v>
      </c>
      <c r="BO50" s="370">
        <f t="shared" ref="BO50:BT50" si="33">BO48</f>
        <v>10919</v>
      </c>
      <c r="BP50" s="370">
        <f t="shared" si="33"/>
        <v>0</v>
      </c>
      <c r="BQ50" s="370">
        <f t="shared" si="33"/>
        <v>56244.800000000003</v>
      </c>
      <c r="BR50" s="370">
        <f t="shared" si="33"/>
        <v>22245.599999999999</v>
      </c>
      <c r="BS50" s="370">
        <f t="shared" si="33"/>
        <v>784</v>
      </c>
      <c r="BT50" s="370">
        <f t="shared" si="33"/>
        <v>126349.4</v>
      </c>
    </row>
    <row r="51" spans="1:72"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T51" s="27"/>
      <c r="AU51" s="27"/>
      <c r="AV51" s="27"/>
      <c r="AW51" s="27"/>
      <c r="AX51" s="27"/>
      <c r="AY51" s="27"/>
      <c r="AZ51" s="27"/>
      <c r="BA51" s="27"/>
      <c r="BB51" s="245"/>
      <c r="BC51" s="16"/>
      <c r="BD51" s="16"/>
      <c r="BE51" s="16"/>
      <c r="BF51" s="16"/>
      <c r="BG51" s="16"/>
      <c r="BH51" s="16"/>
      <c r="BI51" s="245"/>
      <c r="BM51" s="27"/>
      <c r="BN51" s="277"/>
      <c r="BO51" s="277"/>
      <c r="BP51" s="277"/>
      <c r="BQ51" s="277"/>
      <c r="BR51" s="277"/>
      <c r="BS51" s="277"/>
      <c r="BT51" s="277"/>
    </row>
    <row r="52" spans="1:72" ht="44.25" customHeight="1">
      <c r="A52" s="651" t="s">
        <v>359</v>
      </c>
      <c r="B52" s="648"/>
      <c r="C52" s="9" t="s">
        <v>172</v>
      </c>
      <c r="D52" s="614">
        <v>231</v>
      </c>
      <c r="E52" s="644" t="s">
        <v>144</v>
      </c>
      <c r="F52" s="15">
        <f>ROUND((V52+W52)/D52,3)</f>
        <v>22277.199000000001</v>
      </c>
      <c r="G52" s="15">
        <f>ROUND((X52+Y52)/D52,2)</f>
        <v>0</v>
      </c>
      <c r="H52" s="15">
        <f>F52+G52</f>
        <v>22277.199000000001</v>
      </c>
      <c r="I52" s="205">
        <f>ROUND((AL52-AK52)/D52,3)</f>
        <v>225.06899999999999</v>
      </c>
      <c r="J52" s="15">
        <f>ROUND((AM52+AN52+AO52+AQ52+AR52)/D52,2)</f>
        <v>0</v>
      </c>
      <c r="K52" s="15">
        <f>ROUND((AT52+AU52+AV52+AW52+AX52)/D52,2)</f>
        <v>0</v>
      </c>
      <c r="L52" s="15">
        <f>ROUND((BA52+BB52)/D52,2)</f>
        <v>0</v>
      </c>
      <c r="M52" s="37">
        <f>ROUND(BF52/D52,3)</f>
        <v>774.00300000000004</v>
      </c>
      <c r="N52" s="37"/>
      <c r="O52" s="37">
        <f>ROUND(BH52/D52,3)</f>
        <v>500.29</v>
      </c>
      <c r="P52" s="213">
        <f>ROUND(AK52/D52,2)</f>
        <v>0</v>
      </c>
      <c r="Q52" s="15">
        <f>P52+O52+M52+L52+K52+J52+I52+H52+N52</f>
        <v>23776.561000000002</v>
      </c>
      <c r="R52" s="15">
        <f>ROUND((Z52+AB52+AC52)/D52,2)</f>
        <v>0</v>
      </c>
      <c r="S52" s="15">
        <f>ROUND((AY52+BE52)/D52,2)</f>
        <v>0</v>
      </c>
      <c r="T52" s="24">
        <f t="shared" ref="T52:T57" si="34">Q52+R52+S52</f>
        <v>23776.561000000002</v>
      </c>
      <c r="U52" s="644" t="s">
        <v>356</v>
      </c>
      <c r="V52" s="72">
        <v>3952371.44</v>
      </c>
      <c r="W52" s="72">
        <v>1193661.4399999999</v>
      </c>
      <c r="X52" s="15">
        <v>0</v>
      </c>
      <c r="Y52" s="15">
        <v>0</v>
      </c>
      <c r="Z52" s="15"/>
      <c r="AA52" s="15"/>
      <c r="AB52" s="15"/>
      <c r="AC52" s="15"/>
      <c r="AD52" s="72">
        <v>51991</v>
      </c>
      <c r="AE52" s="15"/>
      <c r="AF52" s="15"/>
      <c r="AG52" s="15"/>
      <c r="AH52" s="15"/>
      <c r="AI52" s="15"/>
      <c r="AJ52" s="72"/>
      <c r="AK52" s="15"/>
      <c r="AL52" s="15">
        <f>AD52+AE52+AF52+AG52+AH52+AI52+AK52+AJ52</f>
        <v>51991</v>
      </c>
      <c r="AM52" s="15"/>
      <c r="AN52" s="15"/>
      <c r="AO52" s="15"/>
      <c r="AP52" s="15"/>
      <c r="AQ52" s="15"/>
      <c r="AR52" s="12"/>
      <c r="AS52" s="644" t="s">
        <v>144</v>
      </c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72">
        <v>178794.75</v>
      </c>
      <c r="BG52" s="72"/>
      <c r="BH52" s="72">
        <v>115567</v>
      </c>
      <c r="BI52" s="205">
        <f>V52+W52+X52+Y52+Z52+AB52+AC52+AL52+AM52+AN52+AO52+AQ52+AT52+AU52+AV52+AW52+AX52+AY52+AZ52+BA52+BB52+BC52+BD52+BE52+BF52+BH52+BG52+AP52</f>
        <v>5492385.6299999999</v>
      </c>
      <c r="BJ52" s="15"/>
      <c r="BK52" s="15"/>
      <c r="BL52" s="24">
        <f>ROUND(BI52/D52,2)</f>
        <v>23776.560000000001</v>
      </c>
      <c r="BM52" s="646" t="s">
        <v>144</v>
      </c>
      <c r="BN52" s="81">
        <f>V52+X52</f>
        <v>3952371.44</v>
      </c>
      <c r="BO52" s="81">
        <f>W52+Y52</f>
        <v>1193661.4399999999</v>
      </c>
      <c r="BP52" s="81">
        <f>Z52+AB52+AC52</f>
        <v>0</v>
      </c>
      <c r="BQ52" s="81">
        <f>BH52</f>
        <v>115567</v>
      </c>
      <c r="BR52" s="81">
        <f>BF52+BG52</f>
        <v>178794.75</v>
      </c>
      <c r="BS52" s="81">
        <f>AD52+AE52+AF52+AG52+AH52+AI52+AJ52+AK52+AM52+AN52+AO52+AQ52+AR52+AT52+AU52+AV52+AW52+AX52+AY52+AZ52+BA52+BB52+BC52+BD52+BE52+AP52</f>
        <v>51991</v>
      </c>
      <c r="BT52" s="58">
        <f>BN52+BO52+BP52+BQ52+BS52+BR52</f>
        <v>5492385.6299999999</v>
      </c>
    </row>
    <row r="53" spans="1:72" ht="113.25" customHeight="1">
      <c r="A53" s="652"/>
      <c r="B53" s="649"/>
      <c r="C53" s="9" t="s">
        <v>112</v>
      </c>
      <c r="D53" s="614">
        <v>1416</v>
      </c>
      <c r="E53" s="645"/>
      <c r="F53" s="15"/>
      <c r="G53" s="15"/>
      <c r="H53" s="15"/>
      <c r="I53" s="15"/>
      <c r="J53" s="15"/>
      <c r="K53" s="15"/>
      <c r="L53" s="15"/>
      <c r="M53" s="37">
        <f>ROUND(BF53/D53,2)</f>
        <v>126.27</v>
      </c>
      <c r="N53" s="37"/>
      <c r="O53" s="37">
        <f>ROUND(BH53/D53,2)</f>
        <v>81.62</v>
      </c>
      <c r="P53" s="37"/>
      <c r="Q53" s="15"/>
      <c r="R53" s="15"/>
      <c r="S53" s="15"/>
      <c r="T53" s="7"/>
      <c r="U53" s="64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>
        <f>AD53+AE53+AF53+AG53+AH53+AI53+AK53+AJ53</f>
        <v>0</v>
      </c>
      <c r="AM53" s="15"/>
      <c r="AN53" s="15"/>
      <c r="AO53" s="15"/>
      <c r="AP53" s="15"/>
      <c r="AQ53" s="15"/>
      <c r="AR53" s="12"/>
      <c r="AS53" s="64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72">
        <v>178794.75</v>
      </c>
      <c r="BG53" s="72"/>
      <c r="BH53" s="72">
        <v>115567</v>
      </c>
      <c r="BI53" s="15"/>
      <c r="BJ53" s="15"/>
      <c r="BK53" s="15"/>
      <c r="BL53" s="24"/>
      <c r="BM53" s="647"/>
      <c r="BN53" s="81"/>
      <c r="BO53" s="81"/>
      <c r="BP53" s="81"/>
      <c r="BQ53" s="81">
        <f>BH53</f>
        <v>115567</v>
      </c>
      <c r="BR53" s="81">
        <f>BF53+BG53</f>
        <v>178794.75</v>
      </c>
      <c r="BS53" s="81"/>
      <c r="BT53" s="58"/>
    </row>
    <row r="54" spans="1:72" ht="33.75" customHeight="1">
      <c r="A54" s="653" t="s">
        <v>183</v>
      </c>
      <c r="B54" s="653"/>
      <c r="C54" s="653"/>
      <c r="D54" s="554">
        <f>D52</f>
        <v>231</v>
      </c>
      <c r="E54" s="558"/>
      <c r="F54" s="389">
        <f>ROUND((V54+W54)/D54,3)</f>
        <v>22277.199000000001</v>
      </c>
      <c r="G54" s="389">
        <f>ROUND((X54+Y54)/D54,2)</f>
        <v>0</v>
      </c>
      <c r="H54" s="389">
        <f>F54+G54</f>
        <v>22277.199000000001</v>
      </c>
      <c r="I54" s="544">
        <f>ROUND((AL54-AK54)/D54,3)</f>
        <v>225.06899999999999</v>
      </c>
      <c r="J54" s="389">
        <f>ROUND((AM54+AN54+AO54+AQ54+AR54)/D54,2)</f>
        <v>0</v>
      </c>
      <c r="K54" s="389">
        <f>ROUND((AT54+AU54+AV54+AW54+AX54)/D54,2)</f>
        <v>0</v>
      </c>
      <c r="L54" s="389">
        <f>ROUND((BA54+BB54)/D54,2)</f>
        <v>0</v>
      </c>
      <c r="M54" s="391">
        <f>ROUND(BF54/D54,3)</f>
        <v>774.00300000000004</v>
      </c>
      <c r="N54" s="391"/>
      <c r="O54" s="391">
        <f>ROUND(BH54/D54,3)</f>
        <v>500.29</v>
      </c>
      <c r="P54" s="545">
        <f>ROUND(AK54/D54,2)</f>
        <v>0</v>
      </c>
      <c r="Q54" s="389">
        <f>P54+O54+M54+L54+K54+J54+I54+H54+N54</f>
        <v>23776.561000000002</v>
      </c>
      <c r="R54" s="389">
        <f>ROUND((Z54+AB54+AC54)/D54,2)</f>
        <v>0</v>
      </c>
      <c r="S54" s="389">
        <f>ROUND((AY54+BE54)/D54,2)</f>
        <v>0</v>
      </c>
      <c r="T54" s="389">
        <f t="shared" si="34"/>
        <v>23776.561000000002</v>
      </c>
      <c r="U54" s="558"/>
      <c r="V54" s="370">
        <f>V52</f>
        <v>3952371.44</v>
      </c>
      <c r="W54" s="370">
        <f t="shared" ref="W54:BI54" si="35">W52</f>
        <v>1193661.4399999999</v>
      </c>
      <c r="X54" s="370">
        <f t="shared" si="35"/>
        <v>0</v>
      </c>
      <c r="Y54" s="370">
        <f t="shared" si="35"/>
        <v>0</v>
      </c>
      <c r="Z54" s="370">
        <f t="shared" si="35"/>
        <v>0</v>
      </c>
      <c r="AA54" s="370">
        <f t="shared" si="35"/>
        <v>0</v>
      </c>
      <c r="AB54" s="370">
        <f t="shared" si="35"/>
        <v>0</v>
      </c>
      <c r="AC54" s="370">
        <f t="shared" si="35"/>
        <v>0</v>
      </c>
      <c r="AD54" s="370">
        <f t="shared" si="35"/>
        <v>51991</v>
      </c>
      <c r="AE54" s="370">
        <f t="shared" si="35"/>
        <v>0</v>
      </c>
      <c r="AF54" s="370">
        <f t="shared" si="35"/>
        <v>0</v>
      </c>
      <c r="AG54" s="370">
        <f t="shared" si="35"/>
        <v>0</v>
      </c>
      <c r="AH54" s="370">
        <f t="shared" si="35"/>
        <v>0</v>
      </c>
      <c r="AI54" s="370">
        <f t="shared" si="35"/>
        <v>0</v>
      </c>
      <c r="AJ54" s="370">
        <f t="shared" si="35"/>
        <v>0</v>
      </c>
      <c r="AK54" s="370">
        <f t="shared" si="35"/>
        <v>0</v>
      </c>
      <c r="AL54" s="370">
        <f t="shared" si="35"/>
        <v>51991</v>
      </c>
      <c r="AM54" s="370">
        <f t="shared" si="35"/>
        <v>0</v>
      </c>
      <c r="AN54" s="370">
        <f t="shared" si="35"/>
        <v>0</v>
      </c>
      <c r="AO54" s="370">
        <f t="shared" si="35"/>
        <v>0</v>
      </c>
      <c r="AP54" s="370">
        <f t="shared" si="35"/>
        <v>0</v>
      </c>
      <c r="AQ54" s="370">
        <f t="shared" si="35"/>
        <v>0</v>
      </c>
      <c r="AR54" s="394">
        <f t="shared" si="35"/>
        <v>0</v>
      </c>
      <c r="AS54" s="558"/>
      <c r="AT54" s="370">
        <f t="shared" si="35"/>
        <v>0</v>
      </c>
      <c r="AU54" s="370">
        <f t="shared" si="35"/>
        <v>0</v>
      </c>
      <c r="AV54" s="370">
        <f t="shared" si="35"/>
        <v>0</v>
      </c>
      <c r="AW54" s="370">
        <f t="shared" si="35"/>
        <v>0</v>
      </c>
      <c r="AX54" s="370">
        <f t="shared" si="35"/>
        <v>0</v>
      </c>
      <c r="AY54" s="370">
        <f t="shared" si="35"/>
        <v>0</v>
      </c>
      <c r="AZ54" s="370">
        <f t="shared" si="35"/>
        <v>0</v>
      </c>
      <c r="BA54" s="370">
        <f t="shared" si="35"/>
        <v>0</v>
      </c>
      <c r="BB54" s="370">
        <f t="shared" si="35"/>
        <v>0</v>
      </c>
      <c r="BC54" s="370">
        <f t="shared" si="35"/>
        <v>0</v>
      </c>
      <c r="BD54" s="370">
        <f t="shared" si="35"/>
        <v>0</v>
      </c>
      <c r="BE54" s="370">
        <f t="shared" si="35"/>
        <v>0</v>
      </c>
      <c r="BF54" s="370">
        <f t="shared" si="35"/>
        <v>178794.75</v>
      </c>
      <c r="BG54" s="370">
        <f t="shared" si="35"/>
        <v>0</v>
      </c>
      <c r="BH54" s="370">
        <f t="shared" si="35"/>
        <v>115567</v>
      </c>
      <c r="BI54" s="370">
        <f t="shared" si="35"/>
        <v>5492385.6299999999</v>
      </c>
      <c r="BJ54" s="559"/>
      <c r="BK54" s="559"/>
      <c r="BL54" s="389">
        <f>ROUND(BI54/D54,2)</f>
        <v>23776.560000000001</v>
      </c>
      <c r="BM54" s="560"/>
      <c r="BN54" s="370">
        <f>BN52</f>
        <v>3952371.44</v>
      </c>
      <c r="BO54" s="370">
        <f t="shared" ref="BO54:BT54" si="36">BO52</f>
        <v>1193661.4399999999</v>
      </c>
      <c r="BP54" s="370">
        <f t="shared" si="36"/>
        <v>0</v>
      </c>
      <c r="BQ54" s="370">
        <f t="shared" si="36"/>
        <v>115567</v>
      </c>
      <c r="BR54" s="370">
        <f t="shared" si="36"/>
        <v>178794.75</v>
      </c>
      <c r="BS54" s="370">
        <f t="shared" si="36"/>
        <v>51991</v>
      </c>
      <c r="BT54" s="370">
        <f t="shared" si="36"/>
        <v>5492385.6299999999</v>
      </c>
    </row>
    <row r="55" spans="1:72" ht="36.75" customHeight="1">
      <c r="A55" s="651" t="s">
        <v>359</v>
      </c>
      <c r="B55" s="648"/>
      <c r="C55" s="9" t="s">
        <v>172</v>
      </c>
      <c r="D55" s="614">
        <v>965</v>
      </c>
      <c r="E55" s="644" t="s">
        <v>151</v>
      </c>
      <c r="F55" s="15">
        <f>ROUND((V55+W55)/D55,3)</f>
        <v>24472.252</v>
      </c>
      <c r="G55" s="15">
        <f>ROUND((X55+Y55)/D55,2)</f>
        <v>0</v>
      </c>
      <c r="H55" s="15">
        <f>F55+G55</f>
        <v>24472.252</v>
      </c>
      <c r="I55" s="205">
        <f>ROUND((AL55-AK55)/D55,3)</f>
        <v>65.421000000000006</v>
      </c>
      <c r="J55" s="15">
        <f>ROUND((AM55+AN55+AO55+AQ55+AR55)/D55,2)</f>
        <v>0</v>
      </c>
      <c r="K55" s="15">
        <f>ROUND((AT55+AU55+AV55+AW55+AX55)/D55,2)</f>
        <v>0</v>
      </c>
      <c r="L55" s="15">
        <f>ROUND((BA55+BB55)/D55,2)</f>
        <v>0</v>
      </c>
      <c r="M55" s="37">
        <f>ROUND(BF55/D55,3)</f>
        <v>1913.9490000000001</v>
      </c>
      <c r="N55" s="37"/>
      <c r="O55" s="37">
        <f>ROUND(BH55/D55,3)</f>
        <v>873.95</v>
      </c>
      <c r="P55" s="213">
        <f>ROUND(AK55/D55,3)</f>
        <v>230.30600000000001</v>
      </c>
      <c r="Q55" s="15">
        <f>P55+O55+M55+L55+K55+J55+I55+H55+N55</f>
        <v>27555.878000000001</v>
      </c>
      <c r="R55" s="15">
        <f>ROUND((Z55+AB55+AC55)/D55,2)</f>
        <v>0</v>
      </c>
      <c r="S55" s="15">
        <f>ROUND((AY55+BE55)/D55,2)</f>
        <v>0</v>
      </c>
      <c r="T55" s="24">
        <f t="shared" si="34"/>
        <v>27555.878000000001</v>
      </c>
      <c r="U55" s="644" t="s">
        <v>356</v>
      </c>
      <c r="V55" s="295">
        <v>18138005.449999999</v>
      </c>
      <c r="W55" s="295">
        <v>5477717.54</v>
      </c>
      <c r="X55" s="15"/>
      <c r="Y55" s="15"/>
      <c r="Z55" s="15"/>
      <c r="AA55" s="15"/>
      <c r="AB55" s="15"/>
      <c r="AC55" s="15"/>
      <c r="AD55" s="72">
        <v>63131</v>
      </c>
      <c r="AE55" s="15"/>
      <c r="AF55" s="15"/>
      <c r="AG55" s="15"/>
      <c r="AH55" s="15"/>
      <c r="AI55" s="15"/>
      <c r="AJ55" s="72"/>
      <c r="AK55" s="15">
        <v>222245.5</v>
      </c>
      <c r="AL55" s="15">
        <f>AD55+AE55+AF55+AG55+AH55+AI55+AK55+AJ55</f>
        <v>285376.5</v>
      </c>
      <c r="AM55" s="15"/>
      <c r="AN55" s="15"/>
      <c r="AO55" s="15"/>
      <c r="AP55" s="15"/>
      <c r="AQ55" s="15"/>
      <c r="AR55" s="12"/>
      <c r="AS55" s="644" t="s">
        <v>151</v>
      </c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72">
        <v>1846960.75</v>
      </c>
      <c r="BG55" s="72"/>
      <c r="BH55" s="72">
        <v>843362</v>
      </c>
      <c r="BI55" s="205">
        <f>V55+W55+X55+Y55+Z55+AB55+AC55+AL55+AM55+AN55+AO55+AQ55+AT55+AU55+AV55+AW55+AX55+AY55+AZ55+BA55+BB55+BC55+BD55+BE55+BF55+BH55+BG55+AP55</f>
        <v>26591422.239999998</v>
      </c>
      <c r="BJ55" s="15"/>
      <c r="BK55" s="15"/>
      <c r="BL55" s="24">
        <f>ROUND(BI55/D55,2)</f>
        <v>27555.88</v>
      </c>
      <c r="BM55" s="644" t="s">
        <v>151</v>
      </c>
      <c r="BN55" s="81">
        <f>V55+X55</f>
        <v>18138005.449999999</v>
      </c>
      <c r="BO55" s="81">
        <f>W55+Y55</f>
        <v>5477717.54</v>
      </c>
      <c r="BP55" s="81">
        <f>Z55+AB55+AC55</f>
        <v>0</v>
      </c>
      <c r="BQ55" s="81">
        <f>BH55</f>
        <v>843362</v>
      </c>
      <c r="BR55" s="81">
        <f>BF55+BG55</f>
        <v>1846960.75</v>
      </c>
      <c r="BS55" s="81">
        <f>AD55+AE55+AF55+AG55+AH55+AI55+AJ55+AK55+AM55+AN55+AO55+AQ55+AR55+AT55+AU55+AV55+AW55+AX55+AY55+AZ55+BA55+BB55+BC55+BD55+BE55+AP55</f>
        <v>285376.5</v>
      </c>
      <c r="BT55" s="58">
        <f>BN55+BO55+BP55+BQ55+BS55+BR55</f>
        <v>26591422.239999998</v>
      </c>
    </row>
    <row r="56" spans="1:72" ht="124.5" customHeight="1">
      <c r="A56" s="652"/>
      <c r="B56" s="649"/>
      <c r="C56" s="9" t="s">
        <v>112</v>
      </c>
      <c r="D56" s="614">
        <v>11039</v>
      </c>
      <c r="E56" s="645"/>
      <c r="F56" s="15"/>
      <c r="G56" s="15"/>
      <c r="H56" s="15"/>
      <c r="I56" s="15"/>
      <c r="J56" s="15"/>
      <c r="K56" s="15"/>
      <c r="L56" s="15"/>
      <c r="M56" s="37">
        <f>ROUND(BF56/D56,2)</f>
        <v>167.31</v>
      </c>
      <c r="N56" s="37"/>
      <c r="O56" s="37">
        <f>ROUND(BH56/D56,2)</f>
        <v>76.400000000000006</v>
      </c>
      <c r="P56" s="37"/>
      <c r="Q56" s="15"/>
      <c r="R56" s="15"/>
      <c r="S56" s="15"/>
      <c r="T56" s="7"/>
      <c r="U56" s="64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>
        <f>AD56+AE56+AF56+AG56+AH56+AI56+AK56+AJ56</f>
        <v>0</v>
      </c>
      <c r="AM56" s="15"/>
      <c r="AN56" s="15"/>
      <c r="AO56" s="15"/>
      <c r="AP56" s="15"/>
      <c r="AQ56" s="15"/>
      <c r="AR56" s="12"/>
      <c r="AS56" s="64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72">
        <v>1846960.75</v>
      </c>
      <c r="BG56" s="72"/>
      <c r="BH56" s="72">
        <v>843362</v>
      </c>
      <c r="BI56" s="15"/>
      <c r="BJ56" s="15"/>
      <c r="BK56" s="15"/>
      <c r="BL56" s="24"/>
      <c r="BM56" s="645"/>
      <c r="BN56" s="81"/>
      <c r="BO56" s="81"/>
      <c r="BP56" s="81"/>
      <c r="BQ56" s="81">
        <f>BH56</f>
        <v>843362</v>
      </c>
      <c r="BR56" s="81">
        <f>BF56+BG56</f>
        <v>1846960.75</v>
      </c>
      <c r="BS56" s="81"/>
      <c r="BT56" s="58"/>
    </row>
    <row r="57" spans="1:72" s="107" customFormat="1" ht="30" customHeight="1">
      <c r="A57" s="650" t="s">
        <v>184</v>
      </c>
      <c r="B57" s="650"/>
      <c r="C57" s="650"/>
      <c r="D57" s="387">
        <f>D55</f>
        <v>965</v>
      </c>
      <c r="E57" s="561"/>
      <c r="F57" s="389">
        <f>ROUND((V57+W57)/D57,2)</f>
        <v>24472.25</v>
      </c>
      <c r="G57" s="389">
        <f>ROUND((X57+Y57)/D57,2)</f>
        <v>0</v>
      </c>
      <c r="H57" s="389">
        <f>F57+G57</f>
        <v>24472.25</v>
      </c>
      <c r="I57" s="544">
        <f>ROUND((AL57-AK57)/D57,3)</f>
        <v>65.421000000000006</v>
      </c>
      <c r="J57" s="389">
        <f>ROUND((AM57+AN57+AO57+AQ57+AR57)/D57,2)</f>
        <v>0</v>
      </c>
      <c r="K57" s="389">
        <f>ROUND((AT57+AU57+AV57+AW57+AX57)/D57,2)</f>
        <v>0</v>
      </c>
      <c r="L57" s="389">
        <f>ROUND((BA57+BB57)/D57,2)</f>
        <v>0</v>
      </c>
      <c r="M57" s="391">
        <f>ROUND(BF57/D57,2)</f>
        <v>1913.95</v>
      </c>
      <c r="N57" s="391"/>
      <c r="O57" s="391">
        <f>ROUND(BH57/D57,2)</f>
        <v>873.95</v>
      </c>
      <c r="P57" s="545">
        <f>ROUND(AK57/D57,2)</f>
        <v>230.31</v>
      </c>
      <c r="Q57" s="389">
        <f>P57+O57+M57+L57+K57+J57+I57+H57+N57</f>
        <v>27555.881000000001</v>
      </c>
      <c r="R57" s="389">
        <f>ROUND((Z57+AB57+AC57)/D57,2)</f>
        <v>0</v>
      </c>
      <c r="S57" s="389">
        <f>ROUND((AY57+BE57)/D57,2)</f>
        <v>0</v>
      </c>
      <c r="T57" s="389">
        <f t="shared" si="34"/>
        <v>27555.881000000001</v>
      </c>
      <c r="U57" s="561"/>
      <c r="V57" s="389">
        <f>V55</f>
        <v>18138005.449999999</v>
      </c>
      <c r="W57" s="389">
        <f t="shared" ref="W57:BI57" si="37">W55</f>
        <v>5477717.54</v>
      </c>
      <c r="X57" s="389">
        <f t="shared" si="37"/>
        <v>0</v>
      </c>
      <c r="Y57" s="389">
        <f t="shared" si="37"/>
        <v>0</v>
      </c>
      <c r="Z57" s="389">
        <f t="shared" si="37"/>
        <v>0</v>
      </c>
      <c r="AA57" s="389">
        <f t="shared" si="37"/>
        <v>0</v>
      </c>
      <c r="AB57" s="389">
        <f t="shared" si="37"/>
        <v>0</v>
      </c>
      <c r="AC57" s="389">
        <f t="shared" si="37"/>
        <v>0</v>
      </c>
      <c r="AD57" s="389">
        <f t="shared" si="37"/>
        <v>63131</v>
      </c>
      <c r="AE57" s="389">
        <f t="shared" si="37"/>
        <v>0</v>
      </c>
      <c r="AF57" s="389">
        <f t="shared" si="37"/>
        <v>0</v>
      </c>
      <c r="AG57" s="389">
        <f t="shared" si="37"/>
        <v>0</v>
      </c>
      <c r="AH57" s="389">
        <f t="shared" si="37"/>
        <v>0</v>
      </c>
      <c r="AI57" s="389">
        <f t="shared" si="37"/>
        <v>0</v>
      </c>
      <c r="AJ57" s="389">
        <f t="shared" si="37"/>
        <v>0</v>
      </c>
      <c r="AK57" s="389">
        <f t="shared" si="37"/>
        <v>222245.5</v>
      </c>
      <c r="AL57" s="389">
        <f t="shared" si="37"/>
        <v>285376.5</v>
      </c>
      <c r="AM57" s="389">
        <f t="shared" si="37"/>
        <v>0</v>
      </c>
      <c r="AN57" s="389">
        <f t="shared" si="37"/>
        <v>0</v>
      </c>
      <c r="AO57" s="389">
        <f t="shared" si="37"/>
        <v>0</v>
      </c>
      <c r="AP57" s="389">
        <f t="shared" si="37"/>
        <v>0</v>
      </c>
      <c r="AQ57" s="389">
        <f t="shared" si="37"/>
        <v>0</v>
      </c>
      <c r="AR57" s="395">
        <f t="shared" si="37"/>
        <v>0</v>
      </c>
      <c r="AS57" s="395"/>
      <c r="AT57" s="389">
        <f t="shared" si="37"/>
        <v>0</v>
      </c>
      <c r="AU57" s="389">
        <f t="shared" si="37"/>
        <v>0</v>
      </c>
      <c r="AV57" s="389">
        <f t="shared" si="37"/>
        <v>0</v>
      </c>
      <c r="AW57" s="389">
        <f t="shared" si="37"/>
        <v>0</v>
      </c>
      <c r="AX57" s="389">
        <f t="shared" si="37"/>
        <v>0</v>
      </c>
      <c r="AY57" s="389">
        <f t="shared" si="37"/>
        <v>0</v>
      </c>
      <c r="AZ57" s="389">
        <f t="shared" si="37"/>
        <v>0</v>
      </c>
      <c r="BA57" s="389">
        <f t="shared" si="37"/>
        <v>0</v>
      </c>
      <c r="BB57" s="389">
        <f t="shared" si="37"/>
        <v>0</v>
      </c>
      <c r="BC57" s="389">
        <f t="shared" si="37"/>
        <v>0</v>
      </c>
      <c r="BD57" s="389">
        <f t="shared" si="37"/>
        <v>0</v>
      </c>
      <c r="BE57" s="389">
        <f t="shared" si="37"/>
        <v>0</v>
      </c>
      <c r="BF57" s="389">
        <f t="shared" si="37"/>
        <v>1846960.75</v>
      </c>
      <c r="BG57" s="389">
        <f t="shared" si="37"/>
        <v>0</v>
      </c>
      <c r="BH57" s="389">
        <f t="shared" si="37"/>
        <v>843362</v>
      </c>
      <c r="BI57" s="389">
        <f t="shared" si="37"/>
        <v>26591422.239999998</v>
      </c>
      <c r="BJ57" s="389"/>
      <c r="BK57" s="389"/>
      <c r="BL57" s="389">
        <f>ROUND(BI57/D57,2)</f>
        <v>27555.88</v>
      </c>
      <c r="BM57" s="389"/>
      <c r="BN57" s="389">
        <f>BN55</f>
        <v>18138005.449999999</v>
      </c>
      <c r="BO57" s="389">
        <f t="shared" ref="BO57:BT57" si="38">BO55</f>
        <v>5477717.54</v>
      </c>
      <c r="BP57" s="389">
        <f t="shared" si="38"/>
        <v>0</v>
      </c>
      <c r="BQ57" s="389">
        <f t="shared" si="38"/>
        <v>843362</v>
      </c>
      <c r="BR57" s="389">
        <f t="shared" si="38"/>
        <v>1846960.75</v>
      </c>
      <c r="BS57" s="389">
        <f t="shared" si="38"/>
        <v>285376.5</v>
      </c>
      <c r="BT57" s="389">
        <f t="shared" si="38"/>
        <v>26591422.239999998</v>
      </c>
    </row>
  </sheetData>
  <mergeCells count="195">
    <mergeCell ref="B2:T2"/>
    <mergeCell ref="B3:T3"/>
    <mergeCell ref="E4:E9"/>
    <mergeCell ref="F7:H7"/>
    <mergeCell ref="F5:P5"/>
    <mergeCell ref="F8:F9"/>
    <mergeCell ref="I6:I9"/>
    <mergeCell ref="J6:J9"/>
    <mergeCell ref="F4:P4"/>
    <mergeCell ref="R4:S5"/>
    <mergeCell ref="P6:P9"/>
    <mergeCell ref="M6:M9"/>
    <mergeCell ref="N6:N9"/>
    <mergeCell ref="G8:G9"/>
    <mergeCell ref="O6:O9"/>
    <mergeCell ref="H8:H9"/>
    <mergeCell ref="F6:H6"/>
    <mergeCell ref="K6:K9"/>
    <mergeCell ref="L6:L9"/>
    <mergeCell ref="BM45:BM46"/>
    <mergeCell ref="BM35:BM36"/>
    <mergeCell ref="BM37:BM38"/>
    <mergeCell ref="BM39:BM40"/>
    <mergeCell ref="BM41:BM42"/>
    <mergeCell ref="BM43:BM44"/>
    <mergeCell ref="BM10:BM15"/>
    <mergeCell ref="A4:A9"/>
    <mergeCell ref="C4:C9"/>
    <mergeCell ref="D4:D9"/>
    <mergeCell ref="B4:B9"/>
    <mergeCell ref="Z5:AR5"/>
    <mergeCell ref="AM7:AR8"/>
    <mergeCell ref="V7:V9"/>
    <mergeCell ref="Z7:AC8"/>
    <mergeCell ref="AY8:AY9"/>
    <mergeCell ref="BK5:BK9"/>
    <mergeCell ref="AS5:AS9"/>
    <mergeCell ref="BI5:BI9"/>
    <mergeCell ref="BE8:BE9"/>
    <mergeCell ref="BA6:BD6"/>
    <mergeCell ref="BE6:BE7"/>
    <mergeCell ref="BA5:BE5"/>
    <mergeCell ref="AZ8:AZ9"/>
    <mergeCell ref="BM24:BM25"/>
    <mergeCell ref="BM33:BM34"/>
    <mergeCell ref="Z6:AC6"/>
    <mergeCell ref="AD6:AL6"/>
    <mergeCell ref="AM6:AR6"/>
    <mergeCell ref="AT6:AZ6"/>
    <mergeCell ref="BC8:BD8"/>
    <mergeCell ref="AD7:AL8"/>
    <mergeCell ref="AS33:AS34"/>
    <mergeCell ref="AS10:AS15"/>
    <mergeCell ref="AS27:AS28"/>
    <mergeCell ref="AS31:AS32"/>
    <mergeCell ref="BM27:BM28"/>
    <mergeCell ref="BM29:BM30"/>
    <mergeCell ref="AS29:AS30"/>
    <mergeCell ref="BM31:BM32"/>
    <mergeCell ref="BM22:BM23"/>
    <mergeCell ref="AT7:AX7"/>
    <mergeCell ref="AV8:AX8"/>
    <mergeCell ref="BM17:BM18"/>
    <mergeCell ref="BM20:BM21"/>
    <mergeCell ref="BL5:BL9"/>
    <mergeCell ref="BH5:BH9"/>
    <mergeCell ref="BJ5:BJ9"/>
    <mergeCell ref="AU8:AU9"/>
    <mergeCell ref="AS22:AS23"/>
    <mergeCell ref="V4:BL4"/>
    <mergeCell ref="V5:Y5"/>
    <mergeCell ref="AZ1:BS1"/>
    <mergeCell ref="BG5:BG9"/>
    <mergeCell ref="BN4:BT4"/>
    <mergeCell ref="AT5:AZ5"/>
    <mergeCell ref="BF5:BF9"/>
    <mergeCell ref="BN5:BT5"/>
    <mergeCell ref="BM5:BM9"/>
    <mergeCell ref="BN6:BN9"/>
    <mergeCell ref="BA8:BA9"/>
    <mergeCell ref="BB8:BB9"/>
    <mergeCell ref="BS6:BS9"/>
    <mergeCell ref="BT6:BT9"/>
    <mergeCell ref="BO6:BO9"/>
    <mergeCell ref="BP6:BP9"/>
    <mergeCell ref="BQ6:BQ9"/>
    <mergeCell ref="BR6:BR9"/>
    <mergeCell ref="BC7:BD7"/>
    <mergeCell ref="AT8:AT9"/>
    <mergeCell ref="AS17:AS18"/>
    <mergeCell ref="AS20:AS21"/>
    <mergeCell ref="U17:U18"/>
    <mergeCell ref="Q4:Q9"/>
    <mergeCell ref="U10:U15"/>
    <mergeCell ref="V6:Y6"/>
    <mergeCell ref="X7:X9"/>
    <mergeCell ref="Y7:Y9"/>
    <mergeCell ref="W7:W9"/>
    <mergeCell ref="T4:T9"/>
    <mergeCell ref="R6:R9"/>
    <mergeCell ref="S6:S9"/>
    <mergeCell ref="AS45:AS46"/>
    <mergeCell ref="AS43:AS44"/>
    <mergeCell ref="A1:T1"/>
    <mergeCell ref="A24:A25"/>
    <mergeCell ref="E24:E25"/>
    <mergeCell ref="A22:A23"/>
    <mergeCell ref="E22:E23"/>
    <mergeCell ref="B17:B18"/>
    <mergeCell ref="B10:B11"/>
    <mergeCell ref="A17:A18"/>
    <mergeCell ref="E17:E18"/>
    <mergeCell ref="E10:E15"/>
    <mergeCell ref="AS35:AS36"/>
    <mergeCell ref="B35:B36"/>
    <mergeCell ref="B29:B30"/>
    <mergeCell ref="A35:A36"/>
    <mergeCell ref="E35:E36"/>
    <mergeCell ref="U35:U36"/>
    <mergeCell ref="A33:A34"/>
    <mergeCell ref="E33:E34"/>
    <mergeCell ref="U33:U34"/>
    <mergeCell ref="A29:A30"/>
    <mergeCell ref="U4:U9"/>
    <mergeCell ref="A27:A28"/>
    <mergeCell ref="B12:B13"/>
    <mergeCell ref="A10:A15"/>
    <mergeCell ref="U24:U25"/>
    <mergeCell ref="AS41:AS42"/>
    <mergeCell ref="U37:U38"/>
    <mergeCell ref="AS37:AS38"/>
    <mergeCell ref="B41:B42"/>
    <mergeCell ref="B39:B40"/>
    <mergeCell ref="B33:B34"/>
    <mergeCell ref="E31:E32"/>
    <mergeCell ref="AS39:AS40"/>
    <mergeCell ref="U41:U42"/>
    <mergeCell ref="E39:E40"/>
    <mergeCell ref="U39:U40"/>
    <mergeCell ref="E27:E28"/>
    <mergeCell ref="E20:E21"/>
    <mergeCell ref="B20:B21"/>
    <mergeCell ref="B27:B28"/>
    <mergeCell ref="A26:C26"/>
    <mergeCell ref="B22:B23"/>
    <mergeCell ref="A16:C16"/>
    <mergeCell ref="B14:B15"/>
    <mergeCell ref="AS24:AS25"/>
    <mergeCell ref="U20:U21"/>
    <mergeCell ref="A50:C50"/>
    <mergeCell ref="U52:U53"/>
    <mergeCell ref="A47:C47"/>
    <mergeCell ref="B31:B32"/>
    <mergeCell ref="A19:C19"/>
    <mergeCell ref="E29:E30"/>
    <mergeCell ref="U29:U30"/>
    <mergeCell ref="A45:A46"/>
    <mergeCell ref="A43:A44"/>
    <mergeCell ref="U43:U44"/>
    <mergeCell ref="U45:U46"/>
    <mergeCell ref="A20:A21"/>
    <mergeCell ref="A39:A40"/>
    <mergeCell ref="B45:B46"/>
    <mergeCell ref="B43:B44"/>
    <mergeCell ref="E43:E44"/>
    <mergeCell ref="E45:E46"/>
    <mergeCell ref="U22:U23"/>
    <mergeCell ref="B24:B25"/>
    <mergeCell ref="U27:U28"/>
    <mergeCell ref="U31:U32"/>
    <mergeCell ref="A31:A32"/>
    <mergeCell ref="AS48:AS49"/>
    <mergeCell ref="BM48:BM49"/>
    <mergeCell ref="E37:E38"/>
    <mergeCell ref="B37:B38"/>
    <mergeCell ref="A57:C57"/>
    <mergeCell ref="BM52:BM53"/>
    <mergeCell ref="A55:A56"/>
    <mergeCell ref="B55:B56"/>
    <mergeCell ref="E55:E56"/>
    <mergeCell ref="E48:E49"/>
    <mergeCell ref="U55:U56"/>
    <mergeCell ref="AS55:AS56"/>
    <mergeCell ref="BM55:BM56"/>
    <mergeCell ref="AS52:AS53"/>
    <mergeCell ref="A48:A49"/>
    <mergeCell ref="B48:B49"/>
    <mergeCell ref="A54:C54"/>
    <mergeCell ref="A37:A38"/>
    <mergeCell ref="A52:A53"/>
    <mergeCell ref="B52:B53"/>
    <mergeCell ref="E52:E53"/>
    <mergeCell ref="A41:A42"/>
    <mergeCell ref="U48:U49"/>
    <mergeCell ref="E41:E42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2">
    <tabColor rgb="FFFF0000"/>
  </sheetPr>
  <dimension ref="A1:BT97"/>
  <sheetViews>
    <sheetView zoomScale="75" zoomScaleNormal="60" workbookViewId="0">
      <pane ySplit="9" topLeftCell="A10" activePane="bottomLeft" state="frozen"/>
      <selection pane="bottomLeft" activeCell="A60" sqref="A60"/>
    </sheetView>
  </sheetViews>
  <sheetFormatPr defaultRowHeight="15.75" outlineLevelCol="1"/>
  <cols>
    <col min="1" max="1" width="48.7109375" style="3" customWidth="1"/>
    <col min="2" max="2" width="7.28515625" style="3" customWidth="1"/>
    <col min="3" max="3" width="9.42578125" style="79" customWidth="1"/>
    <col min="4" max="4" width="15.5703125" style="3" customWidth="1"/>
    <col min="5" max="5" width="14.7109375" style="3" customWidth="1"/>
    <col min="6" max="6" width="14.42578125" style="3" customWidth="1"/>
    <col min="7" max="7" width="13.140625" style="3" customWidth="1"/>
    <col min="8" max="8" width="13.5703125" style="3" customWidth="1"/>
    <col min="9" max="9" width="13.42578125" style="3" hidden="1" customWidth="1" outlineLevel="1"/>
    <col min="10" max="10" width="12.28515625" style="3" hidden="1" customWidth="1" outlineLevel="1"/>
    <col min="11" max="11" width="11.42578125" style="3" customWidth="1" collapsed="1"/>
    <col min="12" max="12" width="10.7109375" style="3" customWidth="1"/>
    <col min="13" max="13" width="14.7109375" style="3" customWidth="1"/>
    <col min="14" max="14" width="10.5703125" style="3" hidden="1" customWidth="1" outlineLevel="1"/>
    <col min="15" max="15" width="13" style="3" customWidth="1" collapsed="1"/>
    <col min="16" max="16" width="13.5703125" style="3" customWidth="1"/>
    <col min="17" max="17" width="10.85546875" style="3" customWidth="1"/>
    <col min="18" max="18" width="13.5703125" style="3" customWidth="1"/>
    <col min="19" max="19" width="10" style="3" customWidth="1"/>
    <col min="20" max="20" width="15.140625" style="17" customWidth="1"/>
    <col min="21" max="21" width="14.140625" style="17" customWidth="1"/>
    <col min="22" max="22" width="13.85546875" style="17" customWidth="1"/>
    <col min="23" max="23" width="15.5703125" style="17" customWidth="1"/>
    <col min="24" max="24" width="14.42578125" style="17" customWidth="1"/>
    <col min="25" max="25" width="10.7109375" style="17" customWidth="1"/>
    <col min="26" max="26" width="12" style="17" customWidth="1"/>
    <col min="27" max="27" width="9.28515625" style="17" customWidth="1"/>
    <col min="28" max="28" width="11.28515625" style="17" customWidth="1"/>
    <col min="29" max="29" width="10.140625" style="17" customWidth="1"/>
    <col min="30" max="30" width="8.5703125" style="17" customWidth="1"/>
    <col min="31" max="31" width="0.140625" style="17" customWidth="1"/>
    <col min="32" max="32" width="14.42578125" style="17" customWidth="1"/>
    <col min="33" max="33" width="7.28515625" style="17" customWidth="1"/>
    <col min="34" max="34" width="4.85546875" style="17" customWidth="1"/>
    <col min="35" max="35" width="14.42578125" style="17" customWidth="1"/>
    <col min="36" max="36" width="5.7109375" style="17" customWidth="1"/>
    <col min="37" max="37" width="10.28515625" style="17" customWidth="1"/>
    <col min="38" max="38" width="12" style="17" customWidth="1"/>
    <col min="39" max="39" width="8.85546875" style="17" customWidth="1"/>
    <col min="40" max="40" width="8.7109375" style="17" customWidth="1"/>
    <col min="41" max="41" width="20.5703125" style="3" customWidth="1" outlineLevel="1"/>
    <col min="42" max="42" width="10" style="17" customWidth="1"/>
    <col min="43" max="43" width="11.28515625" style="17" customWidth="1"/>
    <col min="44" max="44" width="9" style="17" customWidth="1"/>
    <col min="45" max="45" width="8.5703125" style="17" customWidth="1"/>
    <col min="46" max="46" width="8.42578125" style="17" customWidth="1"/>
    <col min="47" max="47" width="12" style="17" customWidth="1"/>
    <col min="48" max="48" width="8.28515625" style="17" customWidth="1"/>
    <col min="49" max="49" width="9" style="17" customWidth="1"/>
    <col min="50" max="50" width="11" style="5" customWidth="1"/>
    <col min="51" max="52" width="9.28515625" style="5" customWidth="1"/>
    <col min="53" max="53" width="11" style="5" customWidth="1"/>
    <col min="54" max="54" width="13.5703125" style="5" customWidth="1"/>
    <col min="55" max="55" width="15.28515625" style="5" customWidth="1"/>
    <col min="56" max="56" width="12.5703125" style="5" customWidth="1"/>
    <col min="57" max="57" width="15.85546875" style="18" customWidth="1"/>
    <col min="58" max="58" width="14.85546875" style="16" customWidth="1"/>
    <col min="59" max="59" width="16.7109375" style="71" customWidth="1"/>
    <col min="60" max="60" width="14.42578125" style="71" customWidth="1"/>
    <col min="61" max="61" width="13.7109375" style="71" customWidth="1"/>
    <col min="62" max="63" width="11.85546875" style="71" customWidth="1"/>
    <col min="64" max="64" width="13.7109375" style="71" customWidth="1"/>
    <col min="65" max="65" width="16" style="130" customWidth="1"/>
    <col min="66" max="66" width="20.5703125" style="3" customWidth="1"/>
    <col min="67" max="67" width="15.140625" style="328" customWidth="1"/>
    <col min="68" max="68" width="14.140625" style="328" customWidth="1"/>
    <col min="69" max="69" width="14.42578125" style="328" customWidth="1"/>
    <col min="70" max="70" width="17.85546875" style="328" customWidth="1"/>
    <col min="71" max="71" width="16.7109375" customWidth="1"/>
  </cols>
  <sheetData>
    <row r="1" spans="1:70" ht="33" customHeight="1">
      <c r="A1" s="686" t="s">
        <v>408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BA1" s="769"/>
      <c r="BB1" s="769"/>
      <c r="BC1" s="769"/>
      <c r="BD1" s="769"/>
      <c r="BE1" s="719"/>
      <c r="BF1" s="719"/>
      <c r="BG1" s="277"/>
      <c r="BH1" s="277"/>
      <c r="BI1" s="278"/>
      <c r="BJ1" s="278"/>
      <c r="BK1" s="278"/>
      <c r="BL1" s="278"/>
      <c r="BM1" s="279"/>
    </row>
    <row r="2" spans="1:70" ht="35.25" customHeight="1">
      <c r="A2" s="818" t="s">
        <v>150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6"/>
      <c r="T2" s="974"/>
      <c r="U2" s="974"/>
      <c r="V2" s="974"/>
      <c r="W2" s="974"/>
      <c r="X2" s="974"/>
      <c r="Y2" s="19"/>
      <c r="Z2" s="579"/>
      <c r="AA2" s="580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6"/>
      <c r="AP2" s="19"/>
      <c r="AQ2" s="19"/>
      <c r="AR2" s="19"/>
      <c r="AS2" s="19"/>
      <c r="AT2" s="19"/>
      <c r="AU2" s="19"/>
      <c r="AV2" s="19"/>
      <c r="AW2" s="19"/>
      <c r="BG2" s="277"/>
      <c r="BH2" s="277"/>
      <c r="BN2" s="6"/>
    </row>
    <row r="3" spans="1:70" ht="40.5" customHeight="1">
      <c r="A3" s="819" t="s">
        <v>359</v>
      </c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"/>
      <c r="AP3" s="19"/>
      <c r="AQ3" s="19"/>
      <c r="AR3" s="19"/>
      <c r="AS3" s="19"/>
      <c r="AT3" s="19"/>
      <c r="AU3" s="19"/>
      <c r="AV3" s="19"/>
      <c r="AW3" s="19"/>
      <c r="BG3" s="277"/>
      <c r="BH3" s="277"/>
      <c r="BI3" s="277"/>
      <c r="BJ3" s="277"/>
      <c r="BK3" s="277"/>
      <c r="BL3" s="277"/>
      <c r="BN3" s="280"/>
      <c r="BO3" s="329"/>
    </row>
    <row r="4" spans="1:70" s="636" customFormat="1" ht="28.5" customHeight="1">
      <c r="A4" s="993" t="s">
        <v>0</v>
      </c>
      <c r="B4" s="995" t="s">
        <v>2</v>
      </c>
      <c r="C4" s="995" t="s">
        <v>1</v>
      </c>
      <c r="D4" s="992" t="s">
        <v>68</v>
      </c>
      <c r="E4" s="983" t="s">
        <v>61</v>
      </c>
      <c r="F4" s="984"/>
      <c r="G4" s="984"/>
      <c r="H4" s="984"/>
      <c r="I4" s="984"/>
      <c r="J4" s="984"/>
      <c r="K4" s="984"/>
      <c r="L4" s="984"/>
      <c r="M4" s="984"/>
      <c r="N4" s="984"/>
      <c r="O4" s="991" t="s">
        <v>427</v>
      </c>
      <c r="P4" s="996" t="s">
        <v>56</v>
      </c>
      <c r="Q4" s="997"/>
      <c r="R4" s="1000" t="s">
        <v>54</v>
      </c>
      <c r="S4" s="992" t="s">
        <v>68</v>
      </c>
      <c r="T4" s="745" t="s">
        <v>60</v>
      </c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46"/>
      <c r="AO4" s="746"/>
      <c r="AP4" s="746"/>
      <c r="AQ4" s="746"/>
      <c r="AR4" s="746"/>
      <c r="AS4" s="746"/>
      <c r="AT4" s="746"/>
      <c r="AU4" s="746"/>
      <c r="AV4" s="746"/>
      <c r="AW4" s="746"/>
      <c r="AX4" s="746"/>
      <c r="AY4" s="746"/>
      <c r="AZ4" s="746"/>
      <c r="BA4" s="746"/>
      <c r="BB4" s="746"/>
      <c r="BC4" s="746"/>
      <c r="BD4" s="746"/>
      <c r="BE4" s="746"/>
      <c r="BF4" s="990"/>
      <c r="BG4" s="691"/>
      <c r="BH4" s="691"/>
      <c r="BI4" s="691"/>
      <c r="BJ4" s="691"/>
      <c r="BK4" s="691"/>
      <c r="BL4" s="691"/>
      <c r="BM4" s="691"/>
      <c r="BN4" s="634"/>
      <c r="BO4" s="635"/>
      <c r="BP4" s="635"/>
      <c r="BQ4" s="635"/>
      <c r="BR4" s="635"/>
    </row>
    <row r="5" spans="1:70" s="636" customFormat="1" ht="39.75" customHeight="1">
      <c r="A5" s="652"/>
      <c r="B5" s="660"/>
      <c r="C5" s="660"/>
      <c r="D5" s="660"/>
      <c r="E5" s="986" t="s">
        <v>59</v>
      </c>
      <c r="F5" s="987"/>
      <c r="G5" s="987"/>
      <c r="H5" s="987"/>
      <c r="I5" s="987"/>
      <c r="J5" s="987"/>
      <c r="K5" s="987"/>
      <c r="L5" s="987"/>
      <c r="M5" s="987"/>
      <c r="N5" s="987"/>
      <c r="O5" s="660"/>
      <c r="P5" s="998"/>
      <c r="Q5" s="999"/>
      <c r="R5" s="1001"/>
      <c r="S5" s="660"/>
      <c r="T5" s="975" t="s">
        <v>62</v>
      </c>
      <c r="U5" s="975"/>
      <c r="V5" s="975"/>
      <c r="W5" s="981"/>
      <c r="X5" s="976" t="s">
        <v>8</v>
      </c>
      <c r="Y5" s="976"/>
      <c r="Z5" s="976"/>
      <c r="AA5" s="976"/>
      <c r="AB5" s="976"/>
      <c r="AC5" s="976"/>
      <c r="AD5" s="976"/>
      <c r="AE5" s="976"/>
      <c r="AF5" s="976"/>
      <c r="AG5" s="976"/>
      <c r="AH5" s="976"/>
      <c r="AI5" s="976"/>
      <c r="AJ5" s="976"/>
      <c r="AK5" s="976"/>
      <c r="AL5" s="976"/>
      <c r="AM5" s="976"/>
      <c r="AN5" s="976"/>
      <c r="AO5" s="992" t="s">
        <v>68</v>
      </c>
      <c r="AP5" s="977" t="s">
        <v>19</v>
      </c>
      <c r="AQ5" s="978"/>
      <c r="AR5" s="978"/>
      <c r="AS5" s="978"/>
      <c r="AT5" s="978"/>
      <c r="AU5" s="978"/>
      <c r="AV5" s="979"/>
      <c r="AW5" s="975" t="s">
        <v>19</v>
      </c>
      <c r="AX5" s="975"/>
      <c r="AY5" s="975"/>
      <c r="AZ5" s="975"/>
      <c r="BA5" s="975"/>
      <c r="BB5" s="975" t="s">
        <v>20</v>
      </c>
      <c r="BC5" s="975" t="s">
        <v>13</v>
      </c>
      <c r="BD5" s="975" t="s">
        <v>21</v>
      </c>
      <c r="BE5" s="975" t="s">
        <v>22</v>
      </c>
      <c r="BF5" s="985" t="s">
        <v>25</v>
      </c>
      <c r="BG5" s="691" t="s">
        <v>129</v>
      </c>
      <c r="BH5" s="691"/>
      <c r="BI5" s="691"/>
      <c r="BJ5" s="691"/>
      <c r="BK5" s="691"/>
      <c r="BL5" s="691"/>
      <c r="BM5" s="691"/>
      <c r="BN5" s="1002" t="s">
        <v>68</v>
      </c>
      <c r="BO5" s="635"/>
      <c r="BP5" s="635"/>
      <c r="BQ5" s="635"/>
      <c r="BR5" s="635"/>
    </row>
    <row r="6" spans="1:70" s="2" customFormat="1" ht="81" customHeight="1">
      <c r="A6" s="652"/>
      <c r="B6" s="660"/>
      <c r="C6" s="660"/>
      <c r="D6" s="660"/>
      <c r="E6" s="986" t="s">
        <v>53</v>
      </c>
      <c r="F6" s="987"/>
      <c r="G6" s="987"/>
      <c r="H6" s="986" t="s">
        <v>27</v>
      </c>
      <c r="I6" s="986" t="s">
        <v>10</v>
      </c>
      <c r="J6" s="986" t="s">
        <v>5</v>
      </c>
      <c r="K6" s="986" t="s">
        <v>51</v>
      </c>
      <c r="L6" s="986" t="s">
        <v>20</v>
      </c>
      <c r="M6" s="986" t="s">
        <v>13</v>
      </c>
      <c r="N6" s="986" t="s">
        <v>21</v>
      </c>
      <c r="O6" s="660"/>
      <c r="P6" s="986" t="s">
        <v>16</v>
      </c>
      <c r="Q6" s="986" t="s">
        <v>52</v>
      </c>
      <c r="R6" s="1001"/>
      <c r="S6" s="660"/>
      <c r="T6" s="975" t="s">
        <v>66</v>
      </c>
      <c r="U6" s="981"/>
      <c r="V6" s="981"/>
      <c r="W6" s="981"/>
      <c r="X6" s="975" t="s">
        <v>63</v>
      </c>
      <c r="Y6" s="975"/>
      <c r="Z6" s="975"/>
      <c r="AA6" s="982">
        <v>340</v>
      </c>
      <c r="AB6" s="982"/>
      <c r="AC6" s="982"/>
      <c r="AD6" s="982"/>
      <c r="AE6" s="982"/>
      <c r="AF6" s="982"/>
      <c r="AG6" s="982"/>
      <c r="AH6" s="982"/>
      <c r="AI6" s="982"/>
      <c r="AJ6" s="975" t="s">
        <v>4</v>
      </c>
      <c r="AK6" s="975"/>
      <c r="AL6" s="975"/>
      <c r="AM6" s="975"/>
      <c r="AN6" s="975"/>
      <c r="AO6" s="660"/>
      <c r="AP6" s="975" t="s">
        <v>5</v>
      </c>
      <c r="AQ6" s="975"/>
      <c r="AR6" s="975"/>
      <c r="AS6" s="975"/>
      <c r="AT6" s="975"/>
      <c r="AU6" s="975"/>
      <c r="AV6" s="975"/>
      <c r="AW6" s="975" t="s">
        <v>6</v>
      </c>
      <c r="AX6" s="980"/>
      <c r="AY6" s="981"/>
      <c r="AZ6" s="981"/>
      <c r="BA6" s="982">
        <v>290</v>
      </c>
      <c r="BB6" s="975"/>
      <c r="BC6" s="975"/>
      <c r="BD6" s="975"/>
      <c r="BE6" s="975"/>
      <c r="BF6" s="985"/>
      <c r="BG6" s="691">
        <v>2110</v>
      </c>
      <c r="BH6" s="691">
        <v>2130</v>
      </c>
      <c r="BI6" s="691">
        <v>2230</v>
      </c>
      <c r="BJ6" s="691">
        <v>7500</v>
      </c>
      <c r="BK6" s="691">
        <v>7520</v>
      </c>
      <c r="BL6" s="691">
        <v>7660</v>
      </c>
      <c r="BM6" s="989" t="s">
        <v>130</v>
      </c>
      <c r="BN6" s="652"/>
      <c r="BO6" s="331"/>
      <c r="BP6" s="331"/>
      <c r="BQ6" s="331"/>
      <c r="BR6" s="331"/>
    </row>
    <row r="7" spans="1:70" s="2" customFormat="1" ht="30" customHeight="1">
      <c r="A7" s="652"/>
      <c r="B7" s="660"/>
      <c r="C7" s="660"/>
      <c r="D7" s="660"/>
      <c r="E7" s="986" t="s">
        <v>26</v>
      </c>
      <c r="F7" s="986"/>
      <c r="G7" s="986"/>
      <c r="H7" s="987"/>
      <c r="I7" s="987"/>
      <c r="J7" s="987"/>
      <c r="K7" s="987"/>
      <c r="L7" s="987"/>
      <c r="M7" s="987"/>
      <c r="N7" s="987"/>
      <c r="O7" s="660"/>
      <c r="P7" s="987"/>
      <c r="Q7" s="987"/>
      <c r="R7" s="1001"/>
      <c r="S7" s="660"/>
      <c r="T7" s="975" t="s">
        <v>3</v>
      </c>
      <c r="U7" s="975" t="s">
        <v>64</v>
      </c>
      <c r="V7" s="975" t="s">
        <v>12</v>
      </c>
      <c r="W7" s="975" t="s">
        <v>65</v>
      </c>
      <c r="X7" s="975" t="s">
        <v>16</v>
      </c>
      <c r="Y7" s="975"/>
      <c r="Z7" s="975"/>
      <c r="AA7" s="975" t="s">
        <v>27</v>
      </c>
      <c r="AB7" s="975"/>
      <c r="AC7" s="975"/>
      <c r="AD7" s="975"/>
      <c r="AE7" s="975"/>
      <c r="AF7" s="975"/>
      <c r="AG7" s="975"/>
      <c r="AH7" s="975"/>
      <c r="AI7" s="975"/>
      <c r="AJ7" s="975" t="s">
        <v>10</v>
      </c>
      <c r="AK7" s="975"/>
      <c r="AL7" s="975"/>
      <c r="AM7" s="975"/>
      <c r="AN7" s="975"/>
      <c r="AO7" s="660"/>
      <c r="AP7" s="982">
        <v>225</v>
      </c>
      <c r="AQ7" s="982"/>
      <c r="AR7" s="982"/>
      <c r="AS7" s="982"/>
      <c r="AT7" s="982"/>
      <c r="AU7" s="637">
        <v>290</v>
      </c>
      <c r="AV7" s="637">
        <v>224</v>
      </c>
      <c r="AW7" s="216" t="s">
        <v>4</v>
      </c>
      <c r="AX7" s="216" t="s">
        <v>4</v>
      </c>
      <c r="AY7" s="975" t="s">
        <v>4</v>
      </c>
      <c r="AZ7" s="975"/>
      <c r="BA7" s="982"/>
      <c r="BB7" s="975"/>
      <c r="BC7" s="975"/>
      <c r="BD7" s="975"/>
      <c r="BE7" s="975"/>
      <c r="BF7" s="985"/>
      <c r="BG7" s="691"/>
      <c r="BH7" s="691"/>
      <c r="BI7" s="691"/>
      <c r="BJ7" s="691"/>
      <c r="BK7" s="691"/>
      <c r="BL7" s="691"/>
      <c r="BM7" s="989"/>
      <c r="BN7" s="652"/>
      <c r="BO7" s="331"/>
      <c r="BP7" s="331"/>
      <c r="BQ7" s="331"/>
      <c r="BR7" s="331"/>
    </row>
    <row r="8" spans="1:70" s="2" customFormat="1" ht="36" customHeight="1">
      <c r="A8" s="652"/>
      <c r="B8" s="660"/>
      <c r="C8" s="660"/>
      <c r="D8" s="660"/>
      <c r="E8" s="986" t="s">
        <v>3</v>
      </c>
      <c r="F8" s="986" t="s">
        <v>12</v>
      </c>
      <c r="G8" s="986" t="s">
        <v>11</v>
      </c>
      <c r="H8" s="987"/>
      <c r="I8" s="987"/>
      <c r="J8" s="987"/>
      <c r="K8" s="987"/>
      <c r="L8" s="987"/>
      <c r="M8" s="987"/>
      <c r="N8" s="987"/>
      <c r="O8" s="660"/>
      <c r="P8" s="987"/>
      <c r="Q8" s="987"/>
      <c r="R8" s="1001"/>
      <c r="S8" s="660"/>
      <c r="T8" s="981"/>
      <c r="U8" s="981"/>
      <c r="V8" s="981"/>
      <c r="W8" s="981"/>
      <c r="X8" s="975"/>
      <c r="Y8" s="975"/>
      <c r="Z8" s="975"/>
      <c r="AA8" s="975"/>
      <c r="AB8" s="975"/>
      <c r="AC8" s="975"/>
      <c r="AD8" s="975"/>
      <c r="AE8" s="975"/>
      <c r="AF8" s="975"/>
      <c r="AG8" s="975"/>
      <c r="AH8" s="975"/>
      <c r="AI8" s="975"/>
      <c r="AJ8" s="975"/>
      <c r="AK8" s="975"/>
      <c r="AL8" s="975"/>
      <c r="AM8" s="975"/>
      <c r="AN8" s="975"/>
      <c r="AO8" s="660"/>
      <c r="AP8" s="975" t="s">
        <v>28</v>
      </c>
      <c r="AQ8" s="975" t="s">
        <v>29</v>
      </c>
      <c r="AR8" s="975" t="s">
        <v>119</v>
      </c>
      <c r="AS8" s="975"/>
      <c r="AT8" s="975"/>
      <c r="AU8" s="975" t="s">
        <v>31</v>
      </c>
      <c r="AV8" s="975" t="s">
        <v>124</v>
      </c>
      <c r="AW8" s="975" t="s">
        <v>32</v>
      </c>
      <c r="AX8" s="975" t="s">
        <v>33</v>
      </c>
      <c r="AY8" s="975" t="s">
        <v>34</v>
      </c>
      <c r="AZ8" s="975"/>
      <c r="BA8" s="975" t="s">
        <v>126</v>
      </c>
      <c r="BB8" s="975"/>
      <c r="BC8" s="975"/>
      <c r="BD8" s="975"/>
      <c r="BE8" s="975"/>
      <c r="BF8" s="985"/>
      <c r="BG8" s="691"/>
      <c r="BH8" s="691"/>
      <c r="BI8" s="691"/>
      <c r="BJ8" s="691"/>
      <c r="BK8" s="691"/>
      <c r="BL8" s="691"/>
      <c r="BM8" s="989"/>
      <c r="BN8" s="652"/>
      <c r="BO8" s="331"/>
      <c r="BP8" s="331"/>
      <c r="BQ8" s="331"/>
      <c r="BR8" s="331"/>
    </row>
    <row r="9" spans="1:70" s="2" customFormat="1" ht="76.5" customHeight="1">
      <c r="A9" s="994"/>
      <c r="B9" s="660"/>
      <c r="C9" s="660"/>
      <c r="D9" s="660"/>
      <c r="E9" s="991"/>
      <c r="F9" s="991"/>
      <c r="G9" s="991"/>
      <c r="H9" s="988"/>
      <c r="I9" s="988"/>
      <c r="J9" s="988"/>
      <c r="K9" s="988"/>
      <c r="L9" s="988"/>
      <c r="M9" s="988"/>
      <c r="N9" s="988"/>
      <c r="O9" s="660"/>
      <c r="P9" s="988"/>
      <c r="Q9" s="988"/>
      <c r="R9" s="1001"/>
      <c r="S9" s="660"/>
      <c r="T9" s="981"/>
      <c r="U9" s="981"/>
      <c r="V9" s="981"/>
      <c r="W9" s="981"/>
      <c r="X9" s="216" t="s">
        <v>9</v>
      </c>
      <c r="Y9" s="216" t="s">
        <v>17</v>
      </c>
      <c r="Z9" s="216" t="s">
        <v>18</v>
      </c>
      <c r="AA9" s="216" t="s">
        <v>36</v>
      </c>
      <c r="AB9" s="216" t="s">
        <v>37</v>
      </c>
      <c r="AC9" s="216" t="s">
        <v>38</v>
      </c>
      <c r="AD9" s="216" t="s">
        <v>39</v>
      </c>
      <c r="AE9" s="216" t="s">
        <v>40</v>
      </c>
      <c r="AF9" s="216" t="s">
        <v>14</v>
      </c>
      <c r="AG9" s="216" t="s">
        <v>41</v>
      </c>
      <c r="AH9" s="216"/>
      <c r="AI9" s="216" t="s">
        <v>42</v>
      </c>
      <c r="AJ9" s="216" t="s">
        <v>43</v>
      </c>
      <c r="AK9" s="216" t="s">
        <v>44</v>
      </c>
      <c r="AL9" s="216" t="s">
        <v>45</v>
      </c>
      <c r="AM9" s="216" t="s">
        <v>46</v>
      </c>
      <c r="AN9" s="216" t="s">
        <v>47</v>
      </c>
      <c r="AO9" s="660"/>
      <c r="AP9" s="975"/>
      <c r="AQ9" s="975"/>
      <c r="AR9" s="216" t="s">
        <v>48</v>
      </c>
      <c r="AS9" s="216" t="s">
        <v>49</v>
      </c>
      <c r="AT9" s="216" t="s">
        <v>50</v>
      </c>
      <c r="AU9" s="975"/>
      <c r="AV9" s="975"/>
      <c r="AW9" s="975"/>
      <c r="AX9" s="975"/>
      <c r="AY9" s="975"/>
      <c r="AZ9" s="975"/>
      <c r="BA9" s="975"/>
      <c r="BB9" s="975"/>
      <c r="BC9" s="975"/>
      <c r="BD9" s="975"/>
      <c r="BE9" s="975"/>
      <c r="BF9" s="985"/>
      <c r="BG9" s="691"/>
      <c r="BH9" s="691"/>
      <c r="BI9" s="691"/>
      <c r="BJ9" s="691"/>
      <c r="BK9" s="691"/>
      <c r="BL9" s="691"/>
      <c r="BM9" s="989"/>
      <c r="BN9" s="652"/>
      <c r="BO9" s="331"/>
      <c r="BP9" s="331"/>
      <c r="BQ9" s="331"/>
      <c r="BR9" s="331"/>
    </row>
    <row r="10" spans="1:70" s="2" customFormat="1" ht="23.25" customHeight="1">
      <c r="A10" s="638" t="s">
        <v>360</v>
      </c>
      <c r="B10" s="455"/>
      <c r="C10" s="455"/>
      <c r="D10" s="455"/>
      <c r="E10" s="639"/>
      <c r="F10" s="639"/>
      <c r="G10" s="639"/>
      <c r="H10" s="640"/>
      <c r="I10" s="640"/>
      <c r="J10" s="640"/>
      <c r="K10" s="640"/>
      <c r="L10" s="640"/>
      <c r="M10" s="640"/>
      <c r="N10" s="640"/>
      <c r="O10" s="455"/>
      <c r="P10" s="640"/>
      <c r="Q10" s="640"/>
      <c r="R10" s="641"/>
      <c r="S10" s="616"/>
      <c r="T10" s="642"/>
      <c r="U10" s="642"/>
      <c r="V10" s="642"/>
      <c r="W10" s="642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6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643"/>
      <c r="BG10" s="93"/>
      <c r="BH10" s="93"/>
      <c r="BI10" s="93"/>
      <c r="BJ10" s="93"/>
      <c r="BK10" s="93"/>
      <c r="BL10" s="93"/>
      <c r="BM10" s="360"/>
      <c r="BN10" s="455"/>
      <c r="BO10" s="331"/>
      <c r="BP10" s="331"/>
      <c r="BQ10" s="331"/>
      <c r="BR10" s="331"/>
    </row>
    <row r="11" spans="1:70" s="1" customFormat="1" ht="81.75" customHeight="1">
      <c r="A11" s="420" t="s">
        <v>147</v>
      </c>
      <c r="B11" s="432" t="s">
        <v>89</v>
      </c>
      <c r="C11" s="421">
        <f>C14+C17+C20+C23+C26+C29+C32+C35+C38+C41+C44+C47+C50+C53+C56+C59+C62+C65+C71+C74+C77+C80+C83+C68</f>
        <v>13918</v>
      </c>
      <c r="D11" s="422"/>
      <c r="E11" s="423">
        <f>ROUND((T11+U11)/C11,2)</f>
        <v>3213.76</v>
      </c>
      <c r="F11" s="423">
        <f t="shared" ref="F11:F42" si="0">ROUND((V11+W11)/C11,2)</f>
        <v>430.66</v>
      </c>
      <c r="G11" s="423">
        <f t="shared" ref="G11:G18" si="1">E11+F11</f>
        <v>3644.42</v>
      </c>
      <c r="H11" s="423">
        <f>ROUND(AI11/C11,2)</f>
        <v>87.8</v>
      </c>
      <c r="I11" s="423">
        <f t="shared" ref="I11:I42" si="2">ROUND((AJ11+AK11+AL11+AM11+AN11)/C11,2)</f>
        <v>0</v>
      </c>
      <c r="J11" s="423">
        <f t="shared" ref="J11:J42" si="3">ROUND((AP11+AQ11+AR11+AS11+AT11)/C11,2)</f>
        <v>0</v>
      </c>
      <c r="K11" s="423">
        <f t="shared" ref="K11:K42" si="4">ROUND((AW11+AX11)/C11,2)</f>
        <v>1.1499999999999999</v>
      </c>
      <c r="L11" s="424">
        <f t="shared" ref="L11:L42" si="5">ROUND(BB11/C11,2)</f>
        <v>0</v>
      </c>
      <c r="M11" s="424">
        <f t="shared" ref="M11:M42" si="6">ROUND(BC11/C11,2)</f>
        <v>30.75</v>
      </c>
      <c r="N11" s="424">
        <f t="shared" ref="N11:N42" si="7">ROUND(BD11/C11,2)</f>
        <v>0</v>
      </c>
      <c r="O11" s="423">
        <f t="shared" ref="O11:O18" si="8">N11+M11+L11+K11+J11+I11+H11+G11</f>
        <v>3764.12</v>
      </c>
      <c r="P11" s="423">
        <f t="shared" ref="P11:P42" si="9">ROUND((X11+Y11+Z11)/C11,2)</f>
        <v>5.3</v>
      </c>
      <c r="Q11" s="423">
        <f t="shared" ref="Q11:Q42" si="10">ROUND(AU11/C11,2)</f>
        <v>0</v>
      </c>
      <c r="R11" s="423">
        <f t="shared" ref="R11:R16" si="11">O11+P11+Q11</f>
        <v>3769.42</v>
      </c>
      <c r="S11" s="425"/>
      <c r="T11" s="423">
        <f>T14+T17+T20+T23+T26+T29+T32+T35+T38+T41+T44+T47+T50+T53+T56+T59+T62+T65+T71+T74+T77+T80+T83+T68</f>
        <v>34188240.079999998</v>
      </c>
      <c r="U11" s="423">
        <f t="shared" ref="U11:BM13" si="12">U14+U17+U20+U23+U26+U29+U32+U35+U38+U41+U44+U47+U50+U53+U56+U59+U62+U65+U71+U74+U77+U80+U83+U68</f>
        <v>10540812.5</v>
      </c>
      <c r="V11" s="423">
        <f t="shared" si="12"/>
        <v>4553165.5</v>
      </c>
      <c r="W11" s="423">
        <f t="shared" si="12"/>
        <v>1440802.7999999998</v>
      </c>
      <c r="X11" s="423">
        <f t="shared" si="12"/>
        <v>27274</v>
      </c>
      <c r="Y11" s="423">
        <f t="shared" si="12"/>
        <v>44317</v>
      </c>
      <c r="Z11" s="423">
        <f t="shared" si="12"/>
        <v>2189</v>
      </c>
      <c r="AA11" s="423">
        <f t="shared" si="12"/>
        <v>1987</v>
      </c>
      <c r="AB11" s="423">
        <f t="shared" si="12"/>
        <v>44887</v>
      </c>
      <c r="AC11" s="423">
        <f t="shared" si="12"/>
        <v>0</v>
      </c>
      <c r="AD11" s="423">
        <f t="shared" si="12"/>
        <v>0</v>
      </c>
      <c r="AE11" s="423">
        <f t="shared" si="12"/>
        <v>0</v>
      </c>
      <c r="AF11" s="423">
        <f t="shared" si="12"/>
        <v>1175124.43</v>
      </c>
      <c r="AG11" s="423">
        <f t="shared" si="12"/>
        <v>0</v>
      </c>
      <c r="AH11" s="423">
        <f t="shared" si="12"/>
        <v>0</v>
      </c>
      <c r="AI11" s="423">
        <f t="shared" si="12"/>
        <v>1221998.43</v>
      </c>
      <c r="AJ11" s="423">
        <f t="shared" si="12"/>
        <v>0</v>
      </c>
      <c r="AK11" s="423">
        <f t="shared" si="12"/>
        <v>0</v>
      </c>
      <c r="AL11" s="423">
        <f t="shared" si="12"/>
        <v>0</v>
      </c>
      <c r="AM11" s="423">
        <f t="shared" si="12"/>
        <v>0</v>
      </c>
      <c r="AN11" s="423">
        <f t="shared" si="12"/>
        <v>0</v>
      </c>
      <c r="AO11" s="423"/>
      <c r="AP11" s="423">
        <f t="shared" si="12"/>
        <v>0</v>
      </c>
      <c r="AQ11" s="423">
        <f t="shared" si="12"/>
        <v>0</v>
      </c>
      <c r="AR11" s="423">
        <f t="shared" si="12"/>
        <v>0</v>
      </c>
      <c r="AS11" s="423">
        <f t="shared" si="12"/>
        <v>0</v>
      </c>
      <c r="AT11" s="423">
        <f t="shared" si="12"/>
        <v>0</v>
      </c>
      <c r="AU11" s="423">
        <f t="shared" si="12"/>
        <v>0</v>
      </c>
      <c r="AV11" s="423">
        <f t="shared" si="12"/>
        <v>0</v>
      </c>
      <c r="AW11" s="423">
        <f t="shared" si="12"/>
        <v>0</v>
      </c>
      <c r="AX11" s="423">
        <f t="shared" si="12"/>
        <v>16075</v>
      </c>
      <c r="AY11" s="423">
        <f t="shared" si="12"/>
        <v>0</v>
      </c>
      <c r="AZ11" s="423">
        <f t="shared" si="12"/>
        <v>0</v>
      </c>
      <c r="BA11" s="423">
        <f t="shared" si="12"/>
        <v>0</v>
      </c>
      <c r="BB11" s="423">
        <f t="shared" si="12"/>
        <v>0</v>
      </c>
      <c r="BC11" s="423">
        <f t="shared" si="12"/>
        <v>427918</v>
      </c>
      <c r="BD11" s="423">
        <f t="shared" si="12"/>
        <v>0</v>
      </c>
      <c r="BE11" s="423">
        <f t="shared" si="12"/>
        <v>52462792.309999995</v>
      </c>
      <c r="BF11" s="426">
        <f t="shared" ref="BF11:BF42" si="13">ROUND(BE11/C11,2)</f>
        <v>3769.42</v>
      </c>
      <c r="BG11" s="423">
        <f t="shared" si="12"/>
        <v>38741405.579999998</v>
      </c>
      <c r="BH11" s="423">
        <f t="shared" si="12"/>
        <v>11981615.300000001</v>
      </c>
      <c r="BI11" s="423">
        <f t="shared" si="12"/>
        <v>73780</v>
      </c>
      <c r="BJ11" s="423">
        <f t="shared" si="12"/>
        <v>427918</v>
      </c>
      <c r="BK11" s="423">
        <f t="shared" si="12"/>
        <v>0</v>
      </c>
      <c r="BL11" s="423">
        <f t="shared" si="12"/>
        <v>1238073.43</v>
      </c>
      <c r="BM11" s="423">
        <f t="shared" si="12"/>
        <v>52462792.309999995</v>
      </c>
      <c r="BN11" s="427"/>
      <c r="BO11" s="330"/>
      <c r="BP11" s="330"/>
      <c r="BQ11" s="330"/>
      <c r="BR11" s="330"/>
    </row>
    <row r="12" spans="1:70" s="1" customFormat="1" ht="53.25" customHeight="1">
      <c r="A12" s="420" t="s">
        <v>359</v>
      </c>
      <c r="B12" s="432" t="s">
        <v>101</v>
      </c>
      <c r="C12" s="421">
        <f>C15+C18+C21+C24+C27+C30+C33+C36+C39+C42+C45+C48+C51+C54+C57+C60+C63+C66+C72+C75+C78+C81+C84+C69</f>
        <v>11345</v>
      </c>
      <c r="D12" s="428"/>
      <c r="E12" s="423">
        <f>ROUND((T12+U12)/C12,3)</f>
        <v>574.64700000000005</v>
      </c>
      <c r="F12" s="423">
        <f>ROUND((V12+W12)/C12,3)</f>
        <v>159.41</v>
      </c>
      <c r="G12" s="423">
        <f t="shared" si="1"/>
        <v>734.05700000000002</v>
      </c>
      <c r="H12" s="423">
        <f>ROUND(AI12/C12,3)</f>
        <v>70.858999999999995</v>
      </c>
      <c r="I12" s="423">
        <f t="shared" si="2"/>
        <v>0</v>
      </c>
      <c r="J12" s="423">
        <f t="shared" si="3"/>
        <v>0</v>
      </c>
      <c r="K12" s="423">
        <f t="shared" si="4"/>
        <v>0</v>
      </c>
      <c r="L12" s="424">
        <f t="shared" si="5"/>
        <v>0</v>
      </c>
      <c r="M12" s="424">
        <f>ROUND(BC12/C12,3)</f>
        <v>17.93</v>
      </c>
      <c r="N12" s="424">
        <f t="shared" si="7"/>
        <v>0</v>
      </c>
      <c r="O12" s="423">
        <f t="shared" si="8"/>
        <v>822.846</v>
      </c>
      <c r="P12" s="423">
        <f t="shared" si="9"/>
        <v>0</v>
      </c>
      <c r="Q12" s="423">
        <f t="shared" si="10"/>
        <v>0</v>
      </c>
      <c r="R12" s="423">
        <f t="shared" si="11"/>
        <v>822.846</v>
      </c>
      <c r="S12" s="429"/>
      <c r="T12" s="423">
        <f>T15+T18+T21+T24+T27+T30+T33+T36+T39+T42+T45+T48+T51+T54+T57+T60+T63+T66+T72+T75+T78+T81+T84+T69</f>
        <v>4954982</v>
      </c>
      <c r="U12" s="423">
        <f t="shared" ref="T12:AI13" si="14">U15+U18+U21+U24+U27+U30+U33+U36+U39+U42+U45+U48+U51+U54+U57+U60+U63+U66+U72+U75+U78+U81+U84+U69</f>
        <v>1564386.5</v>
      </c>
      <c r="V12" s="423">
        <f t="shared" si="14"/>
        <v>1375812</v>
      </c>
      <c r="W12" s="423">
        <f t="shared" si="14"/>
        <v>432693</v>
      </c>
      <c r="X12" s="423">
        <f t="shared" si="14"/>
        <v>0</v>
      </c>
      <c r="Y12" s="423">
        <f t="shared" si="14"/>
        <v>0</v>
      </c>
      <c r="Z12" s="423">
        <f t="shared" si="14"/>
        <v>0</v>
      </c>
      <c r="AA12" s="423">
        <f t="shared" si="14"/>
        <v>0</v>
      </c>
      <c r="AB12" s="423">
        <f t="shared" si="14"/>
        <v>0</v>
      </c>
      <c r="AC12" s="423">
        <f t="shared" si="14"/>
        <v>0</v>
      </c>
      <c r="AD12" s="423">
        <f t="shared" si="14"/>
        <v>0</v>
      </c>
      <c r="AE12" s="423">
        <f t="shared" si="14"/>
        <v>0</v>
      </c>
      <c r="AF12" s="423">
        <f t="shared" si="14"/>
        <v>803890.5</v>
      </c>
      <c r="AG12" s="423">
        <f t="shared" si="14"/>
        <v>0</v>
      </c>
      <c r="AH12" s="423">
        <f t="shared" si="14"/>
        <v>0</v>
      </c>
      <c r="AI12" s="423">
        <f t="shared" si="14"/>
        <v>803890.5</v>
      </c>
      <c r="AJ12" s="423">
        <f t="shared" si="12"/>
        <v>0</v>
      </c>
      <c r="AK12" s="423">
        <f t="shared" si="12"/>
        <v>0</v>
      </c>
      <c r="AL12" s="423">
        <f t="shared" si="12"/>
        <v>0</v>
      </c>
      <c r="AM12" s="423">
        <f t="shared" si="12"/>
        <v>0</v>
      </c>
      <c r="AN12" s="423">
        <f t="shared" si="12"/>
        <v>0</v>
      </c>
      <c r="AO12" s="423"/>
      <c r="AP12" s="423">
        <f t="shared" si="12"/>
        <v>0</v>
      </c>
      <c r="AQ12" s="423">
        <f t="shared" si="12"/>
        <v>0</v>
      </c>
      <c r="AR12" s="423">
        <f t="shared" si="12"/>
        <v>0</v>
      </c>
      <c r="AS12" s="423">
        <f t="shared" si="12"/>
        <v>0</v>
      </c>
      <c r="AT12" s="423">
        <f t="shared" si="12"/>
        <v>0</v>
      </c>
      <c r="AU12" s="423">
        <f t="shared" si="12"/>
        <v>0</v>
      </c>
      <c r="AV12" s="423">
        <f t="shared" si="12"/>
        <v>0</v>
      </c>
      <c r="AW12" s="423">
        <f t="shared" si="12"/>
        <v>0</v>
      </c>
      <c r="AX12" s="423">
        <f t="shared" si="12"/>
        <v>0</v>
      </c>
      <c r="AY12" s="423">
        <f t="shared" si="12"/>
        <v>0</v>
      </c>
      <c r="AZ12" s="423">
        <f t="shared" si="12"/>
        <v>0</v>
      </c>
      <c r="BA12" s="423">
        <f t="shared" si="12"/>
        <v>0</v>
      </c>
      <c r="BB12" s="423">
        <f t="shared" si="12"/>
        <v>0</v>
      </c>
      <c r="BC12" s="423">
        <f t="shared" si="12"/>
        <v>203418</v>
      </c>
      <c r="BD12" s="423">
        <f t="shared" si="12"/>
        <v>0</v>
      </c>
      <c r="BE12" s="423">
        <f t="shared" si="12"/>
        <v>9335182</v>
      </c>
      <c r="BF12" s="426">
        <f>ROUND(BE12/C12,3)</f>
        <v>822.84500000000003</v>
      </c>
      <c r="BG12" s="423">
        <f t="shared" ref="BG12:BM12" si="15">BG15+BG18+BG21+BG24+BG27+BG30+BG33+BG36+BG39+BG42+BG45+BG48+BG51+BG54+BG57+BG60+BG63+BG66+BG72+BG75+BG78+BG81+BG84+BG69</f>
        <v>6330794</v>
      </c>
      <c r="BH12" s="423">
        <f t="shared" si="15"/>
        <v>1997079.5</v>
      </c>
      <c r="BI12" s="423">
        <f t="shared" si="15"/>
        <v>0</v>
      </c>
      <c r="BJ12" s="423">
        <f t="shared" si="15"/>
        <v>203418</v>
      </c>
      <c r="BK12" s="423">
        <f t="shared" si="15"/>
        <v>0</v>
      </c>
      <c r="BL12" s="423">
        <f t="shared" si="15"/>
        <v>803890.5</v>
      </c>
      <c r="BM12" s="423">
        <f t="shared" si="15"/>
        <v>9335182</v>
      </c>
      <c r="BN12" s="430"/>
      <c r="BO12" s="330"/>
      <c r="BP12" s="330"/>
      <c r="BQ12" s="330"/>
      <c r="BR12" s="330"/>
    </row>
    <row r="13" spans="1:70" s="1" customFormat="1" ht="29.25" customHeight="1">
      <c r="A13" s="431" t="s">
        <v>42</v>
      </c>
      <c r="B13" s="433"/>
      <c r="C13" s="421">
        <f>C16+C19+C22+C25+C28+C31+C34+C37+C40+C43+C46+C49+C52+C55+C58+C61+C64+C67+C73+C76+C79+C82+C85+C70</f>
        <v>25263</v>
      </c>
      <c r="D13" s="428"/>
      <c r="E13" s="423">
        <f>ROUND((T13+U13)/C13,3)</f>
        <v>2028.596</v>
      </c>
      <c r="F13" s="423">
        <f>ROUND((V13+W13)/C13,3)</f>
        <v>308.85000000000002</v>
      </c>
      <c r="G13" s="423">
        <f t="shared" si="1"/>
        <v>2337.4459999999999</v>
      </c>
      <c r="H13" s="423">
        <f>ROUND(AI13/C13,3)</f>
        <v>80.191999999999993</v>
      </c>
      <c r="I13" s="423">
        <f t="shared" si="2"/>
        <v>0</v>
      </c>
      <c r="J13" s="423">
        <f t="shared" si="3"/>
        <v>0</v>
      </c>
      <c r="K13" s="423">
        <f>ROUND((AW13+AX13)/C13,3)</f>
        <v>0.63600000000000001</v>
      </c>
      <c r="L13" s="424">
        <f t="shared" si="5"/>
        <v>0</v>
      </c>
      <c r="M13" s="424">
        <f>ROUND(BC13/C13,3)</f>
        <v>24.991</v>
      </c>
      <c r="N13" s="424">
        <f t="shared" si="7"/>
        <v>0</v>
      </c>
      <c r="O13" s="423">
        <f t="shared" si="8"/>
        <v>2443.2649999999999</v>
      </c>
      <c r="P13" s="423">
        <f>ROUND((X13+Y13+Z13)/C13,3)</f>
        <v>2.92</v>
      </c>
      <c r="Q13" s="423">
        <f t="shared" si="10"/>
        <v>0</v>
      </c>
      <c r="R13" s="423">
        <f t="shared" si="11"/>
        <v>2446.1849999999999</v>
      </c>
      <c r="S13" s="429"/>
      <c r="T13" s="423">
        <f t="shared" si="14"/>
        <v>39143222.079999998</v>
      </c>
      <c r="U13" s="423">
        <f t="shared" si="14"/>
        <v>12105199</v>
      </c>
      <c r="V13" s="423">
        <f t="shared" si="14"/>
        <v>5928977.5</v>
      </c>
      <c r="W13" s="423">
        <f t="shared" si="14"/>
        <v>1873495.8</v>
      </c>
      <c r="X13" s="423">
        <f t="shared" si="14"/>
        <v>36374</v>
      </c>
      <c r="Y13" s="423">
        <f t="shared" si="14"/>
        <v>35217</v>
      </c>
      <c r="Z13" s="423">
        <f t="shared" si="14"/>
        <v>2189</v>
      </c>
      <c r="AA13" s="423">
        <f t="shared" si="14"/>
        <v>1987</v>
      </c>
      <c r="AB13" s="423">
        <f t="shared" si="14"/>
        <v>44887</v>
      </c>
      <c r="AC13" s="423">
        <f t="shared" si="14"/>
        <v>0</v>
      </c>
      <c r="AD13" s="423">
        <f t="shared" si="14"/>
        <v>0</v>
      </c>
      <c r="AE13" s="423">
        <f t="shared" si="14"/>
        <v>0</v>
      </c>
      <c r="AF13" s="423">
        <f t="shared" si="14"/>
        <v>1979014.93</v>
      </c>
      <c r="AG13" s="423">
        <f t="shared" si="14"/>
        <v>0</v>
      </c>
      <c r="AH13" s="423">
        <f t="shared" si="14"/>
        <v>0</v>
      </c>
      <c r="AI13" s="423">
        <f t="shared" si="14"/>
        <v>2025888.93</v>
      </c>
      <c r="AJ13" s="423">
        <f t="shared" si="12"/>
        <v>0</v>
      </c>
      <c r="AK13" s="423">
        <f t="shared" si="12"/>
        <v>0</v>
      </c>
      <c r="AL13" s="423">
        <f t="shared" si="12"/>
        <v>0</v>
      </c>
      <c r="AM13" s="423">
        <f t="shared" si="12"/>
        <v>0</v>
      </c>
      <c r="AN13" s="423">
        <f t="shared" si="12"/>
        <v>0</v>
      </c>
      <c r="AO13" s="423"/>
      <c r="AP13" s="423">
        <f t="shared" si="12"/>
        <v>0</v>
      </c>
      <c r="AQ13" s="423">
        <f t="shared" si="12"/>
        <v>0</v>
      </c>
      <c r="AR13" s="423">
        <f t="shared" si="12"/>
        <v>0</v>
      </c>
      <c r="AS13" s="423">
        <f t="shared" si="12"/>
        <v>0</v>
      </c>
      <c r="AT13" s="423">
        <f t="shared" si="12"/>
        <v>0</v>
      </c>
      <c r="AU13" s="423">
        <f t="shared" si="12"/>
        <v>0</v>
      </c>
      <c r="AV13" s="423">
        <f t="shared" si="12"/>
        <v>0</v>
      </c>
      <c r="AW13" s="423">
        <f t="shared" si="12"/>
        <v>0</v>
      </c>
      <c r="AX13" s="423">
        <f t="shared" si="12"/>
        <v>16075</v>
      </c>
      <c r="AY13" s="423">
        <f t="shared" si="12"/>
        <v>0</v>
      </c>
      <c r="AZ13" s="423">
        <f t="shared" si="12"/>
        <v>0</v>
      </c>
      <c r="BA13" s="423">
        <f t="shared" si="12"/>
        <v>0</v>
      </c>
      <c r="BB13" s="423">
        <f t="shared" si="12"/>
        <v>0</v>
      </c>
      <c r="BC13" s="423">
        <f t="shared" si="12"/>
        <v>631336</v>
      </c>
      <c r="BD13" s="423">
        <f t="shared" si="12"/>
        <v>0</v>
      </c>
      <c r="BE13" s="423">
        <f t="shared" si="12"/>
        <v>61797974.309999995</v>
      </c>
      <c r="BF13" s="426">
        <f t="shared" si="13"/>
        <v>2446.19</v>
      </c>
      <c r="BG13" s="423">
        <f>BG16+BG19+BG22+BG25+BG28+BG31+BG34+BG37+BG40+BG43+BG46+BG49+BG52+BG55+BG58+BG61+BG64+BG67+BG73+BG76+BG79+BG82+BG85+BG70</f>
        <v>45072199.579999998</v>
      </c>
      <c r="BH13" s="423">
        <f t="shared" ref="BH13:BM13" si="16">BH16+BH19+BH22+BH25+BH28+BH31+BH34+BH37+BH40+BH43+BH46+BH49+BH52+BH55+BH58+BH61+BH64+BH67+BH73+BH76+BH79+BH82+BH85+BH70</f>
        <v>13978694.800000001</v>
      </c>
      <c r="BI13" s="423">
        <f t="shared" si="16"/>
        <v>73780</v>
      </c>
      <c r="BJ13" s="423">
        <f t="shared" si="16"/>
        <v>631336</v>
      </c>
      <c r="BK13" s="423">
        <f t="shared" si="16"/>
        <v>0</v>
      </c>
      <c r="BL13" s="423">
        <f t="shared" si="16"/>
        <v>2041963.93</v>
      </c>
      <c r="BM13" s="423">
        <f t="shared" si="16"/>
        <v>61797974.309999995</v>
      </c>
      <c r="BN13" s="430"/>
      <c r="BO13" s="330"/>
      <c r="BP13" s="330"/>
      <c r="BQ13" s="330"/>
      <c r="BR13" s="330"/>
    </row>
    <row r="14" spans="1:70" s="1" customFormat="1" ht="83.25" customHeight="1">
      <c r="A14" s="83" t="s">
        <v>147</v>
      </c>
      <c r="B14" s="9" t="s">
        <v>89</v>
      </c>
      <c r="C14" s="598">
        <v>496</v>
      </c>
      <c r="D14" s="851" t="s">
        <v>69</v>
      </c>
      <c r="E14" s="8">
        <f>ROUND((T14+U14)/C14,3)</f>
        <v>320.51400000000001</v>
      </c>
      <c r="F14" s="8">
        <f t="shared" si="0"/>
        <v>0</v>
      </c>
      <c r="G14" s="8">
        <f t="shared" si="1"/>
        <v>320.51400000000001</v>
      </c>
      <c r="H14" s="8">
        <f>ROUND(AI14/C14,3)</f>
        <v>38.843000000000004</v>
      </c>
      <c r="I14" s="8">
        <f t="shared" si="2"/>
        <v>0</v>
      </c>
      <c r="J14" s="8">
        <f t="shared" si="3"/>
        <v>0</v>
      </c>
      <c r="K14" s="8">
        <f t="shared" si="4"/>
        <v>0</v>
      </c>
      <c r="L14" s="11">
        <f t="shared" si="5"/>
        <v>0</v>
      </c>
      <c r="M14" s="11">
        <f t="shared" si="6"/>
        <v>11.61</v>
      </c>
      <c r="N14" s="11">
        <f t="shared" si="7"/>
        <v>0</v>
      </c>
      <c r="O14" s="8">
        <f t="shared" si="8"/>
        <v>370.96699999999998</v>
      </c>
      <c r="P14" s="8">
        <f t="shared" si="9"/>
        <v>0</v>
      </c>
      <c r="Q14" s="8">
        <f t="shared" si="10"/>
        <v>0</v>
      </c>
      <c r="R14" s="40">
        <f t="shared" si="11"/>
        <v>370.96699999999998</v>
      </c>
      <c r="S14" s="851" t="s">
        <v>69</v>
      </c>
      <c r="T14" s="15">
        <v>120614</v>
      </c>
      <c r="U14" s="15">
        <f>ROUND(T14*0.31805,0)</f>
        <v>38361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f>ROUND(AF16/C16*C14,0)</f>
        <v>19266</v>
      </c>
      <c r="AG14" s="15"/>
      <c r="AH14" s="15"/>
      <c r="AI14" s="15">
        <f>AA14+AB14+AC14+AD14+AE14+AF14+AH14+AG14</f>
        <v>19266</v>
      </c>
      <c r="AJ14" s="15"/>
      <c r="AK14" s="15"/>
      <c r="AL14" s="15"/>
      <c r="AM14" s="15"/>
      <c r="AN14" s="15"/>
      <c r="AO14" s="854" t="s">
        <v>69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>
        <f>ROUND(BC16/C16*C14,0)</f>
        <v>5760</v>
      </c>
      <c r="BD14" s="15"/>
      <c r="BE14" s="15">
        <f t="shared" ref="BE14:BE45" si="17">T14+U14+V14+W14+X14+Y14+Z14+AI14+AJ14+AK14+AL14+AM14+AP14+AQ14+AR14+AS14+AT14+AU14+AV14+AW14+AX14+AY14+AZ14+BA14+BB14+BC14+BD14</f>
        <v>184001</v>
      </c>
      <c r="BF14" s="70">
        <f t="shared" si="13"/>
        <v>370.97</v>
      </c>
      <c r="BG14" s="222">
        <f>T14+V14</f>
        <v>120614</v>
      </c>
      <c r="BH14" s="222">
        <f>U14+W14</f>
        <v>38361</v>
      </c>
      <c r="BI14" s="222">
        <f>X14+Y14+Z14</f>
        <v>0</v>
      </c>
      <c r="BJ14" s="222">
        <f>BC14</f>
        <v>5760</v>
      </c>
      <c r="BK14" s="222">
        <f>BB14</f>
        <v>0</v>
      </c>
      <c r="BL14" s="222">
        <f>AA14+AB14+AC14+AD14+AE14+AF14+AG14+AH14+AJ14+AK14+AL14+AM14+AN14+AP14+AQ14+AR14+AS14+AT14+AU14+AV14+AW14+AX14+AY14+AZ14+BA14+BD14</f>
        <v>19266</v>
      </c>
      <c r="BM14" s="222">
        <f>BG14+BH14+BI14+BJ14+BL14</f>
        <v>184001</v>
      </c>
      <c r="BN14" s="965" t="s">
        <v>69</v>
      </c>
      <c r="BO14" s="330"/>
      <c r="BP14" s="330"/>
      <c r="BQ14" s="330"/>
      <c r="BR14" s="330"/>
    </row>
    <row r="15" spans="1:70" s="1" customFormat="1" ht="64.5" customHeight="1">
      <c r="A15" s="362" t="s">
        <v>359</v>
      </c>
      <c r="B15" s="435" t="s">
        <v>101</v>
      </c>
      <c r="C15" s="598">
        <v>124</v>
      </c>
      <c r="D15" s="958"/>
      <c r="E15" s="8">
        <f>ROUND((T15+U15)/C15,3)</f>
        <v>320.50799999999998</v>
      </c>
      <c r="F15" s="8">
        <f t="shared" si="0"/>
        <v>0</v>
      </c>
      <c r="G15" s="8">
        <f t="shared" si="1"/>
        <v>320.50799999999998</v>
      </c>
      <c r="H15" s="8">
        <f>ROUND(AI15/C15,3)</f>
        <v>38.847000000000001</v>
      </c>
      <c r="I15" s="8">
        <f t="shared" si="2"/>
        <v>0</v>
      </c>
      <c r="J15" s="8">
        <f t="shared" si="3"/>
        <v>0</v>
      </c>
      <c r="K15" s="8">
        <f t="shared" si="4"/>
        <v>0</v>
      </c>
      <c r="L15" s="11">
        <f t="shared" si="5"/>
        <v>0</v>
      </c>
      <c r="M15" s="11">
        <f>ROUND(BC15/C15,3)</f>
        <v>11.613</v>
      </c>
      <c r="N15" s="11">
        <f t="shared" si="7"/>
        <v>0</v>
      </c>
      <c r="O15" s="8">
        <f t="shared" si="8"/>
        <v>370.96799999999996</v>
      </c>
      <c r="P15" s="8">
        <f t="shared" si="9"/>
        <v>0</v>
      </c>
      <c r="Q15" s="8">
        <f t="shared" si="10"/>
        <v>0</v>
      </c>
      <c r="R15" s="40">
        <f t="shared" si="11"/>
        <v>370.96799999999996</v>
      </c>
      <c r="S15" s="958"/>
      <c r="T15" s="15">
        <v>30154</v>
      </c>
      <c r="U15" s="15">
        <f>ROUND(T15*0.318,0)</f>
        <v>9589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f>AF16-AF14</f>
        <v>4817</v>
      </c>
      <c r="AG15" s="15"/>
      <c r="AH15" s="15"/>
      <c r="AI15" s="15">
        <f>AA15+AB15+AC15+AD15+AE15+AF15+AH15+AG15</f>
        <v>4817</v>
      </c>
      <c r="AJ15" s="15"/>
      <c r="AK15" s="15"/>
      <c r="AL15" s="15"/>
      <c r="AM15" s="15"/>
      <c r="AN15" s="15"/>
      <c r="AO15" s="970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>
        <f>BC16-BC14</f>
        <v>1440</v>
      </c>
      <c r="BD15" s="15"/>
      <c r="BE15" s="15">
        <f t="shared" si="17"/>
        <v>46000</v>
      </c>
      <c r="BF15" s="70">
        <f t="shared" si="13"/>
        <v>370.97</v>
      </c>
      <c r="BG15" s="222">
        <f>T15+V15</f>
        <v>30154</v>
      </c>
      <c r="BH15" s="222">
        <f>U15+W15</f>
        <v>9589</v>
      </c>
      <c r="BI15" s="222">
        <f>X15+Y15+Z15</f>
        <v>0</v>
      </c>
      <c r="BJ15" s="222">
        <f>BC15</f>
        <v>1440</v>
      </c>
      <c r="BK15" s="222">
        <f t="shared" ref="BK15:BK43" si="18">BB15</f>
        <v>0</v>
      </c>
      <c r="BL15" s="222">
        <f>AA15+AB15+AC15+AD15+AE15+AF15+AG15+AH15+AJ15+AK15+AL15+AM15+AN15+AP15+AQ15+AR15+AS15+AT15+AU15+AV15+AW15+AX15+AY15+AZ15+BA15+BD15</f>
        <v>4817</v>
      </c>
      <c r="BM15" s="222">
        <f>BG15+BH15+BI15+BJ15+BL15</f>
        <v>46000</v>
      </c>
      <c r="BN15" s="965"/>
      <c r="BO15" s="330"/>
      <c r="BP15" s="330"/>
      <c r="BQ15" s="330"/>
      <c r="BR15" s="330"/>
    </row>
    <row r="16" spans="1:70" s="96" customFormat="1" ht="15.75" customHeight="1">
      <c r="A16" s="38" t="s">
        <v>42</v>
      </c>
      <c r="B16" s="434"/>
      <c r="C16" s="315">
        <f>C14+C15</f>
        <v>620</v>
      </c>
      <c r="D16" s="95"/>
      <c r="E16" s="22">
        <f>ROUND((T16+U16)/C16,3)</f>
        <v>320.51299999999998</v>
      </c>
      <c r="F16" s="22">
        <f t="shared" si="0"/>
        <v>0</v>
      </c>
      <c r="G16" s="22">
        <f t="shared" si="1"/>
        <v>320.51299999999998</v>
      </c>
      <c r="H16" s="22">
        <f>ROUND(AI16/C16,3)</f>
        <v>38.844000000000001</v>
      </c>
      <c r="I16" s="22">
        <f t="shared" si="2"/>
        <v>0</v>
      </c>
      <c r="J16" s="22">
        <f t="shared" si="3"/>
        <v>0</v>
      </c>
      <c r="K16" s="22">
        <f t="shared" si="4"/>
        <v>0</v>
      </c>
      <c r="L16" s="23">
        <f t="shared" si="5"/>
        <v>0</v>
      </c>
      <c r="M16" s="23">
        <f t="shared" si="6"/>
        <v>11.61</v>
      </c>
      <c r="N16" s="23">
        <f t="shared" si="7"/>
        <v>0</v>
      </c>
      <c r="O16" s="22">
        <f t="shared" si="8"/>
        <v>370.96699999999998</v>
      </c>
      <c r="P16" s="22">
        <f t="shared" si="9"/>
        <v>0</v>
      </c>
      <c r="Q16" s="22">
        <f t="shared" si="10"/>
        <v>0</v>
      </c>
      <c r="R16" s="39">
        <f t="shared" si="11"/>
        <v>370.96699999999998</v>
      </c>
      <c r="S16" s="95"/>
      <c r="T16" s="224">
        <f>T14+T15</f>
        <v>150768</v>
      </c>
      <c r="U16" s="224">
        <f t="shared" ref="U16:AN16" si="19">U14+U15</f>
        <v>47950</v>
      </c>
      <c r="V16" s="224">
        <f t="shared" si="19"/>
        <v>0</v>
      </c>
      <c r="W16" s="224">
        <f t="shared" si="19"/>
        <v>0</v>
      </c>
      <c r="X16" s="224">
        <f t="shared" si="19"/>
        <v>0</v>
      </c>
      <c r="Y16" s="224">
        <f t="shared" si="19"/>
        <v>0</v>
      </c>
      <c r="Z16" s="224">
        <f t="shared" si="19"/>
        <v>0</v>
      </c>
      <c r="AA16" s="224">
        <f t="shared" si="19"/>
        <v>0</v>
      </c>
      <c r="AB16" s="224">
        <f t="shared" si="19"/>
        <v>0</v>
      </c>
      <c r="AC16" s="224">
        <f t="shared" si="19"/>
        <v>0</v>
      </c>
      <c r="AD16" s="224">
        <f t="shared" si="19"/>
        <v>0</v>
      </c>
      <c r="AE16" s="224">
        <f t="shared" si="19"/>
        <v>0</v>
      </c>
      <c r="AF16" s="224">
        <v>24083</v>
      </c>
      <c r="AG16" s="224">
        <f>AG14+AG15</f>
        <v>0</v>
      </c>
      <c r="AH16" s="224">
        <f t="shared" si="19"/>
        <v>0</v>
      </c>
      <c r="AI16" s="224">
        <f t="shared" si="19"/>
        <v>24083</v>
      </c>
      <c r="AJ16" s="224">
        <f t="shared" si="19"/>
        <v>0</v>
      </c>
      <c r="AK16" s="224">
        <f t="shared" si="19"/>
        <v>0</v>
      </c>
      <c r="AL16" s="224">
        <f t="shared" si="19"/>
        <v>0</v>
      </c>
      <c r="AM16" s="224">
        <f t="shared" si="19"/>
        <v>0</v>
      </c>
      <c r="AN16" s="224">
        <f t="shared" si="19"/>
        <v>0</v>
      </c>
      <c r="AO16" s="297"/>
      <c r="AP16" s="224">
        <f>AP14+AP15</f>
        <v>0</v>
      </c>
      <c r="AQ16" s="224">
        <f t="shared" ref="AQ16:BD16" si="20">AQ14+AQ15</f>
        <v>0</v>
      </c>
      <c r="AR16" s="224">
        <f t="shared" si="20"/>
        <v>0</v>
      </c>
      <c r="AS16" s="224">
        <f t="shared" si="20"/>
        <v>0</v>
      </c>
      <c r="AT16" s="224">
        <f t="shared" si="20"/>
        <v>0</v>
      </c>
      <c r="AU16" s="224">
        <f t="shared" si="20"/>
        <v>0</v>
      </c>
      <c r="AV16" s="224">
        <f t="shared" si="20"/>
        <v>0</v>
      </c>
      <c r="AW16" s="224">
        <f t="shared" si="20"/>
        <v>0</v>
      </c>
      <c r="AX16" s="224">
        <f t="shared" si="20"/>
        <v>0</v>
      </c>
      <c r="AY16" s="224">
        <f t="shared" si="20"/>
        <v>0</v>
      </c>
      <c r="AZ16" s="224">
        <f t="shared" si="20"/>
        <v>0</v>
      </c>
      <c r="BA16" s="224">
        <f t="shared" si="20"/>
        <v>0</v>
      </c>
      <c r="BB16" s="224">
        <f t="shared" si="20"/>
        <v>0</v>
      </c>
      <c r="BC16" s="224">
        <v>7200</v>
      </c>
      <c r="BD16" s="224">
        <f t="shared" si="20"/>
        <v>0</v>
      </c>
      <c r="BE16" s="224">
        <f t="shared" si="17"/>
        <v>230001</v>
      </c>
      <c r="BF16" s="70">
        <f t="shared" si="13"/>
        <v>370.97</v>
      </c>
      <c r="BG16" s="326">
        <f t="shared" ref="BG16:BM16" si="21">BG14+BG15</f>
        <v>150768</v>
      </c>
      <c r="BH16" s="601">
        <f t="shared" si="21"/>
        <v>47950</v>
      </c>
      <c r="BI16" s="326">
        <f t="shared" si="21"/>
        <v>0</v>
      </c>
      <c r="BJ16" s="367">
        <f t="shared" si="21"/>
        <v>7200</v>
      </c>
      <c r="BK16" s="368">
        <f t="shared" si="18"/>
        <v>0</v>
      </c>
      <c r="BL16" s="367">
        <f t="shared" si="21"/>
        <v>24083</v>
      </c>
      <c r="BM16" s="326">
        <f t="shared" si="21"/>
        <v>230001</v>
      </c>
      <c r="BN16" s="297"/>
      <c r="BO16" s="332"/>
      <c r="BP16" s="332"/>
      <c r="BQ16" s="332"/>
      <c r="BR16" s="332"/>
    </row>
    <row r="17" spans="1:70" ht="82.5" customHeight="1">
      <c r="A17" s="83" t="s">
        <v>147</v>
      </c>
      <c r="B17" s="9" t="s">
        <v>89</v>
      </c>
      <c r="C17" s="313">
        <v>60</v>
      </c>
      <c r="D17" s="851" t="s">
        <v>70</v>
      </c>
      <c r="E17" s="8">
        <f>ROUND((T17+U17)/C17,2)</f>
        <v>400.03</v>
      </c>
      <c r="F17" s="8">
        <f t="shared" si="0"/>
        <v>0</v>
      </c>
      <c r="G17" s="8">
        <f t="shared" si="1"/>
        <v>400.03</v>
      </c>
      <c r="H17" s="8">
        <f>ROUND(AI17/C17,2)</f>
        <v>60.25</v>
      </c>
      <c r="I17" s="8">
        <f t="shared" si="2"/>
        <v>0</v>
      </c>
      <c r="J17" s="8">
        <f t="shared" si="3"/>
        <v>0</v>
      </c>
      <c r="K17" s="8">
        <f t="shared" si="4"/>
        <v>0</v>
      </c>
      <c r="L17" s="11">
        <f t="shared" si="5"/>
        <v>0</v>
      </c>
      <c r="M17" s="11">
        <f t="shared" si="6"/>
        <v>18</v>
      </c>
      <c r="N17" s="11">
        <f t="shared" si="7"/>
        <v>0</v>
      </c>
      <c r="O17" s="8">
        <f t="shared" si="8"/>
        <v>478.28</v>
      </c>
      <c r="P17" s="8">
        <f t="shared" si="9"/>
        <v>0</v>
      </c>
      <c r="Q17" s="8">
        <f t="shared" si="10"/>
        <v>0</v>
      </c>
      <c r="R17" s="40">
        <f t="shared" ref="R17:R83" si="22">O17+P17+Q17</f>
        <v>478.28</v>
      </c>
      <c r="S17" s="851" t="s">
        <v>70</v>
      </c>
      <c r="T17" s="15">
        <v>18313</v>
      </c>
      <c r="U17" s="15">
        <f>ROUND(T17*0.31066,0)</f>
        <v>5689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>ROUND(AF19/C19*C17,0)</f>
        <v>3615</v>
      </c>
      <c r="AG17" s="15"/>
      <c r="AH17" s="15"/>
      <c r="AI17" s="15">
        <f>AA17+AB17+AC17+AD17+AE17+AF17+AH17+AG17</f>
        <v>3615</v>
      </c>
      <c r="AJ17" s="15"/>
      <c r="AK17" s="15"/>
      <c r="AL17" s="15"/>
      <c r="AM17" s="15"/>
      <c r="AN17" s="15"/>
      <c r="AO17" s="854" t="s">
        <v>70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>
        <f>ROUND(BC19/C19*C17,0)</f>
        <v>1080</v>
      </c>
      <c r="BD17" s="15"/>
      <c r="BE17" s="15">
        <f t="shared" si="17"/>
        <v>28697</v>
      </c>
      <c r="BF17" s="70">
        <f t="shared" si="13"/>
        <v>478.28</v>
      </c>
      <c r="BG17" s="222">
        <f>T17+V17</f>
        <v>18313</v>
      </c>
      <c r="BH17" s="222">
        <f>U17+W17</f>
        <v>5689</v>
      </c>
      <c r="BI17" s="222">
        <f>X17+Y17+Z17</f>
        <v>0</v>
      </c>
      <c r="BJ17" s="222">
        <f>BC17</f>
        <v>1080</v>
      </c>
      <c r="BK17" s="222">
        <f>BB17</f>
        <v>0</v>
      </c>
      <c r="BL17" s="222">
        <f>AA17+AB17+AC17+AD17+AE17+AF17+AG17+AH17+AJ17+AK17+AL17+AM17+AN17+AP17+AQ17+AR17+AS17+AT17+AU17+AV17+AW17+AX17+AY17+AZ17+BA17+BD17</f>
        <v>3615</v>
      </c>
      <c r="BM17" s="222">
        <f>BG17+BH17+BI17+BJ17+BL17</f>
        <v>28697</v>
      </c>
      <c r="BN17" s="965" t="s">
        <v>70</v>
      </c>
    </row>
    <row r="18" spans="1:70" ht="64.5" customHeight="1">
      <c r="A18" s="362" t="s">
        <v>359</v>
      </c>
      <c r="B18" s="435" t="s">
        <v>101</v>
      </c>
      <c r="C18" s="313">
        <v>40</v>
      </c>
      <c r="D18" s="660"/>
      <c r="E18" s="8">
        <f>ROUND((T18+U18)/C18,2)</f>
        <v>400.05</v>
      </c>
      <c r="F18" s="8">
        <f t="shared" si="0"/>
        <v>0</v>
      </c>
      <c r="G18" s="8">
        <f t="shared" si="1"/>
        <v>400.05</v>
      </c>
      <c r="H18" s="8">
        <f>ROUND(AI18/C18,2)</f>
        <v>60.25</v>
      </c>
      <c r="I18" s="8">
        <f t="shared" si="2"/>
        <v>0</v>
      </c>
      <c r="J18" s="8">
        <f t="shared" si="3"/>
        <v>0</v>
      </c>
      <c r="K18" s="8">
        <f t="shared" si="4"/>
        <v>0</v>
      </c>
      <c r="L18" s="11">
        <f t="shared" si="5"/>
        <v>0</v>
      </c>
      <c r="M18" s="11">
        <f t="shared" si="6"/>
        <v>18</v>
      </c>
      <c r="N18" s="11">
        <f t="shared" si="7"/>
        <v>0</v>
      </c>
      <c r="O18" s="8">
        <f t="shared" si="8"/>
        <v>478.3</v>
      </c>
      <c r="P18" s="8">
        <f t="shared" si="9"/>
        <v>0</v>
      </c>
      <c r="Q18" s="8">
        <f t="shared" si="10"/>
        <v>0</v>
      </c>
      <c r="R18" s="40">
        <f t="shared" si="22"/>
        <v>478.3</v>
      </c>
      <c r="S18" s="957"/>
      <c r="T18" s="15">
        <v>12209</v>
      </c>
      <c r="U18" s="15">
        <f>ROUND(T18*0.31066,0)</f>
        <v>3793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>AF19-AF17</f>
        <v>2410</v>
      </c>
      <c r="AG18" s="15"/>
      <c r="AH18" s="15"/>
      <c r="AI18" s="15">
        <f>AA18+AB18+AC18+AD18+AE18+AF18+AH18+AG18</f>
        <v>2410</v>
      </c>
      <c r="AJ18" s="15"/>
      <c r="AK18" s="15"/>
      <c r="AL18" s="15"/>
      <c r="AM18" s="15"/>
      <c r="AN18" s="15"/>
      <c r="AO18" s="969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>
        <f>BC19-BC17</f>
        <v>720</v>
      </c>
      <c r="BD18" s="15"/>
      <c r="BE18" s="15">
        <f t="shared" si="17"/>
        <v>19132</v>
      </c>
      <c r="BF18" s="70">
        <f t="shared" si="13"/>
        <v>478.3</v>
      </c>
      <c r="BG18" s="222">
        <f>T18+V18</f>
        <v>12209</v>
      </c>
      <c r="BH18" s="222">
        <f>U18+W18</f>
        <v>3793</v>
      </c>
      <c r="BI18" s="222">
        <f>X18+Y18+Z18</f>
        <v>0</v>
      </c>
      <c r="BJ18" s="222">
        <f>BC18</f>
        <v>720</v>
      </c>
      <c r="BK18" s="222">
        <f t="shared" si="18"/>
        <v>0</v>
      </c>
      <c r="BL18" s="222">
        <f>AA18+AB18+AC18+AD18+AE18+AF18+AG18+AH18+AJ18+AK18+AL18+AM18+AN18+AP18+AQ18+AR18+AS18+AT18+AU18+AV18+AW18+AX18+AY18+AZ18+BA18+BD18</f>
        <v>2410</v>
      </c>
      <c r="BM18" s="222">
        <f>BG18+BH18+BI18+BJ18+BL18</f>
        <v>19132</v>
      </c>
      <c r="BN18" s="965"/>
    </row>
    <row r="19" spans="1:70" s="98" customFormat="1" ht="18.75" customHeight="1">
      <c r="A19" s="13" t="s">
        <v>42</v>
      </c>
      <c r="B19" s="402"/>
      <c r="C19" s="315">
        <f>C17+C18</f>
        <v>100</v>
      </c>
      <c r="D19" s="97"/>
      <c r="E19" s="22">
        <f>ROUND((T19+U19)/C19,3)</f>
        <v>400.04</v>
      </c>
      <c r="F19" s="22">
        <f t="shared" si="0"/>
        <v>0</v>
      </c>
      <c r="G19" s="22">
        <f t="shared" ref="G19:G85" si="23">E19+F19</f>
        <v>400.04</v>
      </c>
      <c r="H19" s="22">
        <f>ROUND(AI19/C19,2)</f>
        <v>60.25</v>
      </c>
      <c r="I19" s="22">
        <f t="shared" si="2"/>
        <v>0</v>
      </c>
      <c r="J19" s="22">
        <f t="shared" si="3"/>
        <v>0</v>
      </c>
      <c r="K19" s="22">
        <f t="shared" si="4"/>
        <v>0</v>
      </c>
      <c r="L19" s="23">
        <f t="shared" si="5"/>
        <v>0</v>
      </c>
      <c r="M19" s="23">
        <f t="shared" si="6"/>
        <v>18</v>
      </c>
      <c r="N19" s="23">
        <f t="shared" si="7"/>
        <v>0</v>
      </c>
      <c r="O19" s="22">
        <f t="shared" ref="O19:O85" si="24">N19+M19+L19+K19+J19+I19+H19+G19</f>
        <v>478.29</v>
      </c>
      <c r="P19" s="22">
        <f t="shared" si="9"/>
        <v>0</v>
      </c>
      <c r="Q19" s="22">
        <f t="shared" si="10"/>
        <v>0</v>
      </c>
      <c r="R19" s="39">
        <f t="shared" si="22"/>
        <v>478.29</v>
      </c>
      <c r="S19" s="958"/>
      <c r="T19" s="224">
        <f>T17+T18</f>
        <v>30522</v>
      </c>
      <c r="U19" s="224">
        <f t="shared" ref="U19:AH19" si="25">U17+U18</f>
        <v>9482</v>
      </c>
      <c r="V19" s="224">
        <f t="shared" si="25"/>
        <v>0</v>
      </c>
      <c r="W19" s="224">
        <f t="shared" si="25"/>
        <v>0</v>
      </c>
      <c r="X19" s="224">
        <f t="shared" si="25"/>
        <v>0</v>
      </c>
      <c r="Y19" s="224">
        <f t="shared" si="25"/>
        <v>0</v>
      </c>
      <c r="Z19" s="224">
        <f t="shared" si="25"/>
        <v>0</v>
      </c>
      <c r="AA19" s="224">
        <f t="shared" si="25"/>
        <v>0</v>
      </c>
      <c r="AB19" s="224">
        <f t="shared" si="25"/>
        <v>0</v>
      </c>
      <c r="AC19" s="224">
        <f t="shared" si="25"/>
        <v>0</v>
      </c>
      <c r="AD19" s="224">
        <f t="shared" si="25"/>
        <v>0</v>
      </c>
      <c r="AE19" s="224">
        <f t="shared" si="25"/>
        <v>0</v>
      </c>
      <c r="AF19" s="224">
        <v>6025</v>
      </c>
      <c r="AG19" s="224">
        <f t="shared" si="25"/>
        <v>0</v>
      </c>
      <c r="AH19" s="224">
        <f t="shared" si="25"/>
        <v>0</v>
      </c>
      <c r="AI19" s="224">
        <f t="shared" ref="AI19:AN19" si="26">AI17+AI18</f>
        <v>6025</v>
      </c>
      <c r="AJ19" s="224">
        <f t="shared" si="26"/>
        <v>0</v>
      </c>
      <c r="AK19" s="224">
        <f t="shared" si="26"/>
        <v>0</v>
      </c>
      <c r="AL19" s="224">
        <f t="shared" si="26"/>
        <v>0</v>
      </c>
      <c r="AM19" s="224">
        <f t="shared" si="26"/>
        <v>0</v>
      </c>
      <c r="AN19" s="224">
        <f t="shared" si="26"/>
        <v>0</v>
      </c>
      <c r="AO19" s="970"/>
      <c r="AP19" s="224">
        <f t="shared" ref="AP19:BD19" si="27">AP17+AP18</f>
        <v>0</v>
      </c>
      <c r="AQ19" s="224">
        <f t="shared" si="27"/>
        <v>0</v>
      </c>
      <c r="AR19" s="224">
        <f t="shared" si="27"/>
        <v>0</v>
      </c>
      <c r="AS19" s="224">
        <f t="shared" si="27"/>
        <v>0</v>
      </c>
      <c r="AT19" s="224">
        <f t="shared" si="27"/>
        <v>0</v>
      </c>
      <c r="AU19" s="224">
        <f t="shared" si="27"/>
        <v>0</v>
      </c>
      <c r="AV19" s="224">
        <f t="shared" si="27"/>
        <v>0</v>
      </c>
      <c r="AW19" s="224">
        <f t="shared" si="27"/>
        <v>0</v>
      </c>
      <c r="AX19" s="224">
        <f t="shared" si="27"/>
        <v>0</v>
      </c>
      <c r="AY19" s="224">
        <f t="shared" si="27"/>
        <v>0</v>
      </c>
      <c r="AZ19" s="224">
        <f t="shared" si="27"/>
        <v>0</v>
      </c>
      <c r="BA19" s="224">
        <f t="shared" si="27"/>
        <v>0</v>
      </c>
      <c r="BB19" s="224">
        <f t="shared" si="27"/>
        <v>0</v>
      </c>
      <c r="BC19" s="224">
        <v>1800</v>
      </c>
      <c r="BD19" s="224">
        <f t="shared" si="27"/>
        <v>0</v>
      </c>
      <c r="BE19" s="224">
        <f t="shared" si="17"/>
        <v>47829</v>
      </c>
      <c r="BF19" s="70">
        <f t="shared" si="13"/>
        <v>478.29</v>
      </c>
      <c r="BG19" s="326">
        <f t="shared" ref="BG19:BM19" si="28">BG17+BG18</f>
        <v>30522</v>
      </c>
      <c r="BH19" s="601">
        <f t="shared" si="28"/>
        <v>9482</v>
      </c>
      <c r="BI19" s="326">
        <f t="shared" si="28"/>
        <v>0</v>
      </c>
      <c r="BJ19" s="326">
        <f t="shared" si="28"/>
        <v>1800</v>
      </c>
      <c r="BK19" s="368">
        <f t="shared" si="18"/>
        <v>0</v>
      </c>
      <c r="BL19" s="326">
        <f t="shared" si="28"/>
        <v>6025</v>
      </c>
      <c r="BM19" s="326">
        <f t="shared" si="28"/>
        <v>47829</v>
      </c>
      <c r="BN19" s="965"/>
      <c r="BO19" s="333"/>
      <c r="BP19" s="333"/>
      <c r="BQ19" s="333"/>
      <c r="BR19" s="333"/>
    </row>
    <row r="20" spans="1:70" ht="45" customHeight="1">
      <c r="A20" s="83" t="s">
        <v>147</v>
      </c>
      <c r="B20" s="9" t="s">
        <v>89</v>
      </c>
      <c r="C20" s="313">
        <v>134</v>
      </c>
      <c r="D20" s="851" t="s">
        <v>71</v>
      </c>
      <c r="E20" s="8">
        <f>ROUND((T20+U20)/C20,2)</f>
        <v>765.99</v>
      </c>
      <c r="F20" s="8">
        <f t="shared" si="0"/>
        <v>0</v>
      </c>
      <c r="G20" s="8">
        <f t="shared" si="23"/>
        <v>765.99</v>
      </c>
      <c r="H20" s="8">
        <f>ROUND(AI20/C20,2)</f>
        <v>60.35</v>
      </c>
      <c r="I20" s="8">
        <f t="shared" si="2"/>
        <v>0</v>
      </c>
      <c r="J20" s="8">
        <f t="shared" si="3"/>
        <v>0</v>
      </c>
      <c r="K20" s="8">
        <f t="shared" si="4"/>
        <v>0</v>
      </c>
      <c r="L20" s="11">
        <f t="shared" si="5"/>
        <v>0</v>
      </c>
      <c r="M20" s="11">
        <f t="shared" si="6"/>
        <v>18</v>
      </c>
      <c r="N20" s="11">
        <f t="shared" si="7"/>
        <v>0</v>
      </c>
      <c r="O20" s="8">
        <f t="shared" si="24"/>
        <v>844.34</v>
      </c>
      <c r="P20" s="8">
        <f t="shared" si="9"/>
        <v>0</v>
      </c>
      <c r="Q20" s="8">
        <f t="shared" si="10"/>
        <v>0</v>
      </c>
      <c r="R20" s="40">
        <f t="shared" si="22"/>
        <v>844.34</v>
      </c>
      <c r="S20" s="851" t="s">
        <v>71</v>
      </c>
      <c r="T20" s="15">
        <v>77242</v>
      </c>
      <c r="U20" s="15">
        <v>25400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>
        <f>ROUND(AF22/C22*C20,0)</f>
        <v>8087</v>
      </c>
      <c r="AG20" s="15"/>
      <c r="AH20" s="15"/>
      <c r="AI20" s="15">
        <f>AA20+AB20+AC20+AD20+AE20+AF20+AH20+AG20</f>
        <v>8087</v>
      </c>
      <c r="AJ20" s="15"/>
      <c r="AK20" s="15"/>
      <c r="AL20" s="15"/>
      <c r="AM20" s="15"/>
      <c r="AN20" s="15"/>
      <c r="AO20" s="854" t="s">
        <v>71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>
        <f>ROUND(BC22/C22*C20,0)</f>
        <v>2412</v>
      </c>
      <c r="BD20" s="15"/>
      <c r="BE20" s="15">
        <f t="shared" si="17"/>
        <v>113141</v>
      </c>
      <c r="BF20" s="70">
        <f t="shared" si="13"/>
        <v>844.34</v>
      </c>
      <c r="BG20" s="222">
        <f>T20+V20</f>
        <v>77242</v>
      </c>
      <c r="BH20" s="222">
        <f>U20+W20</f>
        <v>25400</v>
      </c>
      <c r="BI20" s="222">
        <f>X20+Y20+Z20</f>
        <v>0</v>
      </c>
      <c r="BJ20" s="222">
        <f>BC20</f>
        <v>2412</v>
      </c>
      <c r="BK20" s="222">
        <f>BB20</f>
        <v>0</v>
      </c>
      <c r="BL20" s="222">
        <f>AA20+AB20+AC20+AD20+AE20+AF20+AG20+AH20+AJ20+AK20+AL20+AM20+AN20+AP20+AQ20+AR20+AS20+AT20+AU20+AV20+AW20+AX20+AY20+AZ20+BA20+BD20</f>
        <v>8087</v>
      </c>
      <c r="BM20" s="222">
        <f>BG20+BH20+BI20+BJ20+BL20</f>
        <v>113141</v>
      </c>
      <c r="BN20" s="965" t="s">
        <v>71</v>
      </c>
    </row>
    <row r="21" spans="1:70" ht="45" customHeight="1">
      <c r="A21" s="362" t="s">
        <v>359</v>
      </c>
      <c r="B21" s="435" t="s">
        <v>101</v>
      </c>
      <c r="C21" s="313">
        <v>16</v>
      </c>
      <c r="D21" s="957"/>
      <c r="E21" s="8">
        <f>ROUND((T21+U21)/C21,3)</f>
        <v>762.125</v>
      </c>
      <c r="F21" s="8">
        <f t="shared" si="0"/>
        <v>0</v>
      </c>
      <c r="G21" s="8">
        <f t="shared" si="23"/>
        <v>762.125</v>
      </c>
      <c r="H21" s="8">
        <f>ROUND(AI21/C21,3)</f>
        <v>60.375</v>
      </c>
      <c r="I21" s="8">
        <f t="shared" si="2"/>
        <v>0</v>
      </c>
      <c r="J21" s="8">
        <f t="shared" si="3"/>
        <v>0</v>
      </c>
      <c r="K21" s="8">
        <f t="shared" si="4"/>
        <v>0</v>
      </c>
      <c r="L21" s="11">
        <f t="shared" si="5"/>
        <v>0</v>
      </c>
      <c r="M21" s="11">
        <f>ROUND(BC21/C21,3)</f>
        <v>18</v>
      </c>
      <c r="N21" s="11">
        <f t="shared" si="7"/>
        <v>0</v>
      </c>
      <c r="O21" s="8">
        <f t="shared" si="24"/>
        <v>840.5</v>
      </c>
      <c r="P21" s="8">
        <f t="shared" si="9"/>
        <v>0</v>
      </c>
      <c r="Q21" s="8">
        <f t="shared" si="10"/>
        <v>0</v>
      </c>
      <c r="R21" s="40">
        <f t="shared" si="22"/>
        <v>840.5</v>
      </c>
      <c r="S21" s="957"/>
      <c r="T21" s="15">
        <v>9177</v>
      </c>
      <c r="U21" s="15">
        <f>ROUND(T21*0.3288,0)</f>
        <v>3017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>
        <f>AF22-AF20</f>
        <v>966</v>
      </c>
      <c r="AG21" s="15"/>
      <c r="AH21" s="15"/>
      <c r="AI21" s="15">
        <f>AA21+AB21+AC21+AD21+AE21+AF21+AH21+AG21</f>
        <v>966</v>
      </c>
      <c r="AJ21" s="15"/>
      <c r="AK21" s="15"/>
      <c r="AL21" s="15"/>
      <c r="AM21" s="15"/>
      <c r="AN21" s="15"/>
      <c r="AO21" s="969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f>BC22-BC20</f>
        <v>288</v>
      </c>
      <c r="BD21" s="15"/>
      <c r="BE21" s="15">
        <f t="shared" si="17"/>
        <v>13448</v>
      </c>
      <c r="BF21" s="70">
        <f t="shared" si="13"/>
        <v>840.5</v>
      </c>
      <c r="BG21" s="222">
        <f>T21+V21</f>
        <v>9177</v>
      </c>
      <c r="BH21" s="222">
        <f>U21+W21</f>
        <v>3017</v>
      </c>
      <c r="BI21" s="222">
        <f>X21+Y21+Z21</f>
        <v>0</v>
      </c>
      <c r="BJ21" s="222">
        <f>BC21</f>
        <v>288</v>
      </c>
      <c r="BK21" s="222">
        <f t="shared" si="18"/>
        <v>0</v>
      </c>
      <c r="BL21" s="222">
        <f>AA21+AB21+AC21+AD21+AE21+AF21+AG21+AH21+AJ21+AK21+AL21+AM21+AN21+AP21+AQ21+AR21+AS21+AT21+AU21+AV21+AW21+AX21+AY21+AZ21+BA21+BD21</f>
        <v>966</v>
      </c>
      <c r="BM21" s="222">
        <f>BG21+BH21+BI21+BJ21+BL21</f>
        <v>13448</v>
      </c>
      <c r="BN21" s="965"/>
    </row>
    <row r="22" spans="1:70" s="98" customFormat="1" ht="17.25" customHeight="1">
      <c r="A22" s="13" t="s">
        <v>42</v>
      </c>
      <c r="B22" s="402"/>
      <c r="C22" s="315">
        <f>C20+C21</f>
        <v>150</v>
      </c>
      <c r="D22" s="958"/>
      <c r="E22" s="224">
        <f>ROUND((T22+U22)/C22,3)</f>
        <v>765.57299999999998</v>
      </c>
      <c r="F22" s="224">
        <f t="shared" si="0"/>
        <v>0</v>
      </c>
      <c r="G22" s="224">
        <f t="shared" si="23"/>
        <v>765.57299999999998</v>
      </c>
      <c r="H22" s="224">
        <f>ROUND(AI22/C22,3)</f>
        <v>60.353000000000002</v>
      </c>
      <c r="I22" s="224">
        <f t="shared" si="2"/>
        <v>0</v>
      </c>
      <c r="J22" s="224">
        <f t="shared" si="3"/>
        <v>0</v>
      </c>
      <c r="K22" s="224">
        <f t="shared" si="4"/>
        <v>0</v>
      </c>
      <c r="L22" s="225">
        <f t="shared" si="5"/>
        <v>0</v>
      </c>
      <c r="M22" s="225">
        <f t="shared" si="6"/>
        <v>18</v>
      </c>
      <c r="N22" s="225">
        <f t="shared" si="7"/>
        <v>0</v>
      </c>
      <c r="O22" s="224">
        <f t="shared" si="24"/>
        <v>843.92599999999993</v>
      </c>
      <c r="P22" s="224">
        <f t="shared" si="9"/>
        <v>0</v>
      </c>
      <c r="Q22" s="224">
        <f t="shared" si="10"/>
        <v>0</v>
      </c>
      <c r="R22" s="50">
        <f t="shared" si="22"/>
        <v>843.92599999999993</v>
      </c>
      <c r="S22" s="958"/>
      <c r="T22" s="224">
        <f>T20+T21</f>
        <v>86419</v>
      </c>
      <c r="U22" s="224">
        <f t="shared" ref="U22:AH22" si="29">U20+U21</f>
        <v>28417</v>
      </c>
      <c r="V22" s="224">
        <f t="shared" si="29"/>
        <v>0</v>
      </c>
      <c r="W22" s="224">
        <f t="shared" si="29"/>
        <v>0</v>
      </c>
      <c r="X22" s="224">
        <f t="shared" si="29"/>
        <v>0</v>
      </c>
      <c r="Y22" s="224">
        <f t="shared" si="29"/>
        <v>0</v>
      </c>
      <c r="Z22" s="224">
        <f t="shared" si="29"/>
        <v>0</v>
      </c>
      <c r="AA22" s="224">
        <f t="shared" si="29"/>
        <v>0</v>
      </c>
      <c r="AB22" s="224">
        <f t="shared" si="29"/>
        <v>0</v>
      </c>
      <c r="AC22" s="224">
        <f t="shared" si="29"/>
        <v>0</v>
      </c>
      <c r="AD22" s="224">
        <f t="shared" si="29"/>
        <v>0</v>
      </c>
      <c r="AE22" s="224">
        <f t="shared" si="29"/>
        <v>0</v>
      </c>
      <c r="AF22" s="224">
        <v>9053</v>
      </c>
      <c r="AG22" s="224">
        <f t="shared" si="29"/>
        <v>0</v>
      </c>
      <c r="AH22" s="224">
        <f t="shared" si="29"/>
        <v>0</v>
      </c>
      <c r="AI22" s="224">
        <f t="shared" ref="AI22:AN22" si="30">AI20+AI21</f>
        <v>9053</v>
      </c>
      <c r="AJ22" s="224">
        <f t="shared" si="30"/>
        <v>0</v>
      </c>
      <c r="AK22" s="224">
        <f t="shared" si="30"/>
        <v>0</v>
      </c>
      <c r="AL22" s="224">
        <f t="shared" si="30"/>
        <v>0</v>
      </c>
      <c r="AM22" s="224">
        <f t="shared" si="30"/>
        <v>0</v>
      </c>
      <c r="AN22" s="224">
        <f t="shared" si="30"/>
        <v>0</v>
      </c>
      <c r="AO22" s="970"/>
      <c r="AP22" s="224">
        <f t="shared" ref="AP22:BD22" si="31">AP20+AP21</f>
        <v>0</v>
      </c>
      <c r="AQ22" s="224">
        <f t="shared" si="31"/>
        <v>0</v>
      </c>
      <c r="AR22" s="224">
        <f t="shared" si="31"/>
        <v>0</v>
      </c>
      <c r="AS22" s="224">
        <f t="shared" si="31"/>
        <v>0</v>
      </c>
      <c r="AT22" s="224">
        <f t="shared" si="31"/>
        <v>0</v>
      </c>
      <c r="AU22" s="224">
        <f t="shared" si="31"/>
        <v>0</v>
      </c>
      <c r="AV22" s="224">
        <f t="shared" si="31"/>
        <v>0</v>
      </c>
      <c r="AW22" s="224">
        <f t="shared" si="31"/>
        <v>0</v>
      </c>
      <c r="AX22" s="224">
        <f t="shared" si="31"/>
        <v>0</v>
      </c>
      <c r="AY22" s="224">
        <f t="shared" si="31"/>
        <v>0</v>
      </c>
      <c r="AZ22" s="224">
        <f t="shared" si="31"/>
        <v>0</v>
      </c>
      <c r="BA22" s="224">
        <f t="shared" si="31"/>
        <v>0</v>
      </c>
      <c r="BB22" s="224">
        <f t="shared" si="31"/>
        <v>0</v>
      </c>
      <c r="BC22" s="224">
        <v>2700</v>
      </c>
      <c r="BD22" s="224">
        <f t="shared" si="31"/>
        <v>0</v>
      </c>
      <c r="BE22" s="224">
        <f t="shared" si="17"/>
        <v>126589</v>
      </c>
      <c r="BF22" s="70">
        <f t="shared" si="13"/>
        <v>843.93</v>
      </c>
      <c r="BG22" s="326">
        <f t="shared" ref="BG22:BM22" si="32">BG20+BG21</f>
        <v>86419</v>
      </c>
      <c r="BH22" s="601">
        <f t="shared" si="32"/>
        <v>28417</v>
      </c>
      <c r="BI22" s="326">
        <f t="shared" si="32"/>
        <v>0</v>
      </c>
      <c r="BJ22" s="326">
        <f t="shared" si="32"/>
        <v>2700</v>
      </c>
      <c r="BK22" s="368">
        <f t="shared" si="18"/>
        <v>0</v>
      </c>
      <c r="BL22" s="326">
        <f t="shared" si="32"/>
        <v>9053</v>
      </c>
      <c r="BM22" s="326">
        <f t="shared" si="32"/>
        <v>126589</v>
      </c>
      <c r="BN22" s="965"/>
      <c r="BO22" s="333"/>
      <c r="BP22" s="333"/>
      <c r="BQ22" s="333"/>
      <c r="BR22" s="333"/>
    </row>
    <row r="23" spans="1:70" ht="60.75" customHeight="1">
      <c r="A23" s="83" t="s">
        <v>147</v>
      </c>
      <c r="B23" s="9" t="s">
        <v>89</v>
      </c>
      <c r="C23" s="313">
        <v>150</v>
      </c>
      <c r="D23" s="851" t="s">
        <v>72</v>
      </c>
      <c r="E23" s="8">
        <f>ROUND((T23+U23)/C23,3)</f>
        <v>326.5</v>
      </c>
      <c r="F23" s="8">
        <f t="shared" si="0"/>
        <v>0</v>
      </c>
      <c r="G23" s="8">
        <f t="shared" si="23"/>
        <v>326.5</v>
      </c>
      <c r="H23" s="8">
        <f>ROUND(AI23/C23,3)</f>
        <v>60.32</v>
      </c>
      <c r="I23" s="8">
        <f t="shared" si="2"/>
        <v>0</v>
      </c>
      <c r="J23" s="8">
        <f t="shared" si="3"/>
        <v>0</v>
      </c>
      <c r="K23" s="8">
        <f t="shared" si="4"/>
        <v>0</v>
      </c>
      <c r="L23" s="11">
        <f t="shared" si="5"/>
        <v>0</v>
      </c>
      <c r="M23" s="11">
        <f t="shared" si="6"/>
        <v>18</v>
      </c>
      <c r="N23" s="11">
        <f t="shared" si="7"/>
        <v>0</v>
      </c>
      <c r="O23" s="8">
        <f t="shared" si="24"/>
        <v>404.82</v>
      </c>
      <c r="P23" s="8">
        <f t="shared" si="9"/>
        <v>0</v>
      </c>
      <c r="Q23" s="8">
        <f t="shared" si="10"/>
        <v>0</v>
      </c>
      <c r="R23" s="40">
        <f t="shared" si="22"/>
        <v>404.82</v>
      </c>
      <c r="S23" s="851" t="s">
        <v>72</v>
      </c>
      <c r="T23" s="15">
        <v>37615</v>
      </c>
      <c r="U23" s="15">
        <f>ROUND(T23*0.302,0)</f>
        <v>11360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>
        <f>ROUND(AF25/C25*C23,0)</f>
        <v>9048</v>
      </c>
      <c r="AG23" s="15"/>
      <c r="AH23" s="15"/>
      <c r="AI23" s="15">
        <f>AA23+AB23+AC23+AD23+AE23+AF23+AH23+AG23</f>
        <v>9048</v>
      </c>
      <c r="AJ23" s="15"/>
      <c r="AK23" s="15"/>
      <c r="AL23" s="15"/>
      <c r="AM23" s="15"/>
      <c r="AN23" s="15"/>
      <c r="AO23" s="854" t="s">
        <v>72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>
        <f>ROUND(BC25/C25*C23,0)</f>
        <v>2700</v>
      </c>
      <c r="BD23" s="15"/>
      <c r="BE23" s="15">
        <f t="shared" si="17"/>
        <v>60723</v>
      </c>
      <c r="BF23" s="70">
        <f t="shared" si="13"/>
        <v>404.82</v>
      </c>
      <c r="BG23" s="222">
        <f>T23+V23</f>
        <v>37615</v>
      </c>
      <c r="BH23" s="222">
        <f>U23+W23</f>
        <v>11360</v>
      </c>
      <c r="BI23" s="222">
        <f>X23+Y23+Z23</f>
        <v>0</v>
      </c>
      <c r="BJ23" s="222">
        <f>BC23</f>
        <v>2700</v>
      </c>
      <c r="BK23" s="222">
        <f>BB23</f>
        <v>0</v>
      </c>
      <c r="BL23" s="222">
        <f>AA23+AB23+AC23+AD23+AE23+AF23+AG23+AH23+AJ23+AK23+AL23+AM23+AN23+AP23+AQ23+AR23+AS23+AT23+AU23+AV23+AW23+AX23+AY23+AZ23+BA23+BD23</f>
        <v>9048</v>
      </c>
      <c r="BM23" s="222">
        <f>BG23+BH23+BI23+BJ23+BL23</f>
        <v>60723</v>
      </c>
      <c r="BN23" s="965" t="s">
        <v>72</v>
      </c>
    </row>
    <row r="24" spans="1:70" ht="70.5" customHeight="1">
      <c r="A24" s="362" t="s">
        <v>359</v>
      </c>
      <c r="B24" s="435" t="s">
        <v>101</v>
      </c>
      <c r="C24" s="313">
        <v>40</v>
      </c>
      <c r="D24" s="957"/>
      <c r="E24" s="8">
        <f>ROUND((T24+U24)/C24,3)</f>
        <v>325.07499999999999</v>
      </c>
      <c r="F24" s="8">
        <f t="shared" si="0"/>
        <v>0</v>
      </c>
      <c r="G24" s="8">
        <f t="shared" si="23"/>
        <v>325.07499999999999</v>
      </c>
      <c r="H24" s="8">
        <f>ROUND(AI24/C24,3)</f>
        <v>60.325000000000003</v>
      </c>
      <c r="I24" s="8">
        <f t="shared" si="2"/>
        <v>0</v>
      </c>
      <c r="J24" s="8">
        <f t="shared" si="3"/>
        <v>0</v>
      </c>
      <c r="K24" s="8">
        <f t="shared" si="4"/>
        <v>0</v>
      </c>
      <c r="L24" s="11">
        <f t="shared" si="5"/>
        <v>0</v>
      </c>
      <c r="M24" s="11">
        <f t="shared" si="6"/>
        <v>18</v>
      </c>
      <c r="N24" s="11">
        <f t="shared" si="7"/>
        <v>0</v>
      </c>
      <c r="O24" s="8">
        <f t="shared" si="24"/>
        <v>403.4</v>
      </c>
      <c r="P24" s="8">
        <f t="shared" si="9"/>
        <v>0</v>
      </c>
      <c r="Q24" s="8">
        <f t="shared" si="10"/>
        <v>0</v>
      </c>
      <c r="R24" s="40">
        <f t="shared" si="22"/>
        <v>403.4</v>
      </c>
      <c r="S24" s="957"/>
      <c r="T24" s="15">
        <v>9987</v>
      </c>
      <c r="U24" s="15">
        <f>ROUND(T24*0.302,0)</f>
        <v>3016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>
        <f>AF25-AF23</f>
        <v>2413</v>
      </c>
      <c r="AG24" s="15"/>
      <c r="AH24" s="15"/>
      <c r="AI24" s="15">
        <f>AA24+AB24+AC24+AD24+AE24+AF24+AH24+AG24</f>
        <v>2413</v>
      </c>
      <c r="AJ24" s="15"/>
      <c r="AK24" s="15"/>
      <c r="AL24" s="15"/>
      <c r="AM24" s="15"/>
      <c r="AN24" s="15"/>
      <c r="AO24" s="969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>
        <f>BC25-BC23</f>
        <v>720</v>
      </c>
      <c r="BD24" s="15"/>
      <c r="BE24" s="15">
        <f t="shared" si="17"/>
        <v>16136</v>
      </c>
      <c r="BF24" s="70">
        <f t="shared" si="13"/>
        <v>403.4</v>
      </c>
      <c r="BG24" s="222">
        <f>T24+V24</f>
        <v>9987</v>
      </c>
      <c r="BH24" s="222">
        <f>U24+W24</f>
        <v>3016</v>
      </c>
      <c r="BI24" s="222">
        <f>X24+Y24+Z24</f>
        <v>0</v>
      </c>
      <c r="BJ24" s="222">
        <f>BC24</f>
        <v>720</v>
      </c>
      <c r="BK24" s="222">
        <f t="shared" si="18"/>
        <v>0</v>
      </c>
      <c r="BL24" s="222">
        <f>AA24+AB24+AC24+AD24+AE24+AF24+AG24+AH24+AJ24+AK24+AL24+AM24+AN24+AP24+AQ24+AR24+AS24+AT24+AU24+AV24+AW24+AX24+AY24+AZ24+BA24+BD24</f>
        <v>2413</v>
      </c>
      <c r="BM24" s="222">
        <f>BG24+BH24+BI24+BJ24+BL24</f>
        <v>16136</v>
      </c>
      <c r="BN24" s="965"/>
    </row>
    <row r="25" spans="1:70" s="98" customFormat="1" ht="21.75" customHeight="1">
      <c r="A25" s="13" t="s">
        <v>42</v>
      </c>
      <c r="B25" s="402"/>
      <c r="C25" s="315">
        <f>C23+C24</f>
        <v>190</v>
      </c>
      <c r="D25" s="958"/>
      <c r="E25" s="22">
        <f t="shared" ref="E25:E30" si="33">ROUND((T25+U25)/C25,2)</f>
        <v>326.2</v>
      </c>
      <c r="F25" s="22">
        <f t="shared" si="0"/>
        <v>0</v>
      </c>
      <c r="G25" s="22">
        <f t="shared" si="23"/>
        <v>326.2</v>
      </c>
      <c r="H25" s="22">
        <f t="shared" ref="H25:H30" si="34">ROUND(AI25/C25,2)</f>
        <v>60.32</v>
      </c>
      <c r="I25" s="22">
        <f t="shared" si="2"/>
        <v>0</v>
      </c>
      <c r="J25" s="22">
        <f t="shared" si="3"/>
        <v>0</v>
      </c>
      <c r="K25" s="22">
        <f t="shared" si="4"/>
        <v>0</v>
      </c>
      <c r="L25" s="23">
        <f t="shared" si="5"/>
        <v>0</v>
      </c>
      <c r="M25" s="23">
        <f t="shared" si="6"/>
        <v>18</v>
      </c>
      <c r="N25" s="23">
        <f t="shared" si="7"/>
        <v>0</v>
      </c>
      <c r="O25" s="22">
        <f t="shared" si="24"/>
        <v>404.52</v>
      </c>
      <c r="P25" s="22">
        <f t="shared" si="9"/>
        <v>0</v>
      </c>
      <c r="Q25" s="22">
        <f t="shared" si="10"/>
        <v>0</v>
      </c>
      <c r="R25" s="39">
        <f t="shared" si="22"/>
        <v>404.52</v>
      </c>
      <c r="S25" s="958"/>
      <c r="T25" s="224">
        <f>T23+T24</f>
        <v>47602</v>
      </c>
      <c r="U25" s="224">
        <f t="shared" ref="U25:AH25" si="35">U23+U24</f>
        <v>14376</v>
      </c>
      <c r="V25" s="224">
        <f t="shared" si="35"/>
        <v>0</v>
      </c>
      <c r="W25" s="224">
        <f t="shared" si="35"/>
        <v>0</v>
      </c>
      <c r="X25" s="224">
        <f t="shared" si="35"/>
        <v>0</v>
      </c>
      <c r="Y25" s="224">
        <f t="shared" si="35"/>
        <v>0</v>
      </c>
      <c r="Z25" s="224">
        <f t="shared" si="35"/>
        <v>0</v>
      </c>
      <c r="AA25" s="224">
        <f t="shared" si="35"/>
        <v>0</v>
      </c>
      <c r="AB25" s="224">
        <f t="shared" si="35"/>
        <v>0</v>
      </c>
      <c r="AC25" s="224">
        <f t="shared" si="35"/>
        <v>0</v>
      </c>
      <c r="AD25" s="224">
        <f t="shared" si="35"/>
        <v>0</v>
      </c>
      <c r="AE25" s="224">
        <f t="shared" si="35"/>
        <v>0</v>
      </c>
      <c r="AF25" s="224">
        <v>11461</v>
      </c>
      <c r="AG25" s="224">
        <f t="shared" si="35"/>
        <v>0</v>
      </c>
      <c r="AH25" s="224">
        <f t="shared" si="35"/>
        <v>0</v>
      </c>
      <c r="AI25" s="224">
        <f t="shared" ref="AI25:AN25" si="36">AI23+AI24</f>
        <v>11461</v>
      </c>
      <c r="AJ25" s="224">
        <f t="shared" si="36"/>
        <v>0</v>
      </c>
      <c r="AK25" s="224">
        <f t="shared" si="36"/>
        <v>0</v>
      </c>
      <c r="AL25" s="224">
        <f t="shared" si="36"/>
        <v>0</v>
      </c>
      <c r="AM25" s="224">
        <f t="shared" si="36"/>
        <v>0</v>
      </c>
      <c r="AN25" s="224">
        <f t="shared" si="36"/>
        <v>0</v>
      </c>
      <c r="AO25" s="970"/>
      <c r="AP25" s="224">
        <f t="shared" ref="AP25:BD25" si="37">AP23+AP24</f>
        <v>0</v>
      </c>
      <c r="AQ25" s="224">
        <f t="shared" si="37"/>
        <v>0</v>
      </c>
      <c r="AR25" s="224">
        <f t="shared" si="37"/>
        <v>0</v>
      </c>
      <c r="AS25" s="224">
        <f t="shared" si="37"/>
        <v>0</v>
      </c>
      <c r="AT25" s="224">
        <f t="shared" si="37"/>
        <v>0</v>
      </c>
      <c r="AU25" s="224">
        <f t="shared" si="37"/>
        <v>0</v>
      </c>
      <c r="AV25" s="224">
        <f t="shared" si="37"/>
        <v>0</v>
      </c>
      <c r="AW25" s="224">
        <f t="shared" si="37"/>
        <v>0</v>
      </c>
      <c r="AX25" s="224">
        <f t="shared" si="37"/>
        <v>0</v>
      </c>
      <c r="AY25" s="224">
        <f t="shared" si="37"/>
        <v>0</v>
      </c>
      <c r="AZ25" s="224">
        <f t="shared" si="37"/>
        <v>0</v>
      </c>
      <c r="BA25" s="224">
        <f t="shared" si="37"/>
        <v>0</v>
      </c>
      <c r="BB25" s="224">
        <f t="shared" si="37"/>
        <v>0</v>
      </c>
      <c r="BC25" s="224">
        <v>3420</v>
      </c>
      <c r="BD25" s="224">
        <f t="shared" si="37"/>
        <v>0</v>
      </c>
      <c r="BE25" s="224">
        <f t="shared" si="17"/>
        <v>76859</v>
      </c>
      <c r="BF25" s="70">
        <f t="shared" si="13"/>
        <v>404.52</v>
      </c>
      <c r="BG25" s="326">
        <f t="shared" ref="BG25:BM25" si="38">BG23+BG24</f>
        <v>47602</v>
      </c>
      <c r="BH25" s="601">
        <f t="shared" si="38"/>
        <v>14376</v>
      </c>
      <c r="BI25" s="326">
        <f t="shared" si="38"/>
        <v>0</v>
      </c>
      <c r="BJ25" s="326">
        <f t="shared" si="38"/>
        <v>3420</v>
      </c>
      <c r="BK25" s="368">
        <f t="shared" si="18"/>
        <v>0</v>
      </c>
      <c r="BL25" s="326">
        <f t="shared" si="38"/>
        <v>11461</v>
      </c>
      <c r="BM25" s="326">
        <f t="shared" si="38"/>
        <v>76859</v>
      </c>
      <c r="BN25" s="965"/>
      <c r="BO25" s="333"/>
      <c r="BP25" s="333"/>
      <c r="BQ25" s="333"/>
      <c r="BR25" s="333"/>
    </row>
    <row r="26" spans="1:70" ht="61.5" customHeight="1">
      <c r="A26" s="83" t="s">
        <v>147</v>
      </c>
      <c r="B26" s="9" t="s">
        <v>89</v>
      </c>
      <c r="C26" s="313">
        <v>28</v>
      </c>
      <c r="D26" s="851" t="s">
        <v>73</v>
      </c>
      <c r="E26" s="8">
        <f t="shared" si="33"/>
        <v>437.95</v>
      </c>
      <c r="F26" s="8">
        <f t="shared" si="0"/>
        <v>0</v>
      </c>
      <c r="G26" s="8">
        <f t="shared" si="23"/>
        <v>437.95</v>
      </c>
      <c r="H26" s="8">
        <f t="shared" si="34"/>
        <v>60.21</v>
      </c>
      <c r="I26" s="8">
        <f t="shared" si="2"/>
        <v>0</v>
      </c>
      <c r="J26" s="8">
        <f t="shared" si="3"/>
        <v>0</v>
      </c>
      <c r="K26" s="8">
        <f t="shared" si="4"/>
        <v>0</v>
      </c>
      <c r="L26" s="11">
        <f t="shared" si="5"/>
        <v>0</v>
      </c>
      <c r="M26" s="11">
        <f t="shared" si="6"/>
        <v>18</v>
      </c>
      <c r="N26" s="11">
        <f t="shared" si="7"/>
        <v>0</v>
      </c>
      <c r="O26" s="8">
        <f t="shared" si="24"/>
        <v>516.16</v>
      </c>
      <c r="P26" s="8">
        <f t="shared" si="9"/>
        <v>0</v>
      </c>
      <c r="Q26" s="8">
        <f t="shared" si="10"/>
        <v>0</v>
      </c>
      <c r="R26" s="40">
        <f t="shared" si="22"/>
        <v>516.16</v>
      </c>
      <c r="S26" s="851" t="s">
        <v>73</v>
      </c>
      <c r="T26" s="15">
        <v>9333</v>
      </c>
      <c r="U26" s="15">
        <v>2929.5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>
        <f>ROUND(AF28/C28*C26,0)</f>
        <v>1686</v>
      </c>
      <c r="AG26" s="15"/>
      <c r="AH26" s="15"/>
      <c r="AI26" s="15">
        <f>AA26+AB26+AC26+AD26+AE26+AF26+AH26+AG26</f>
        <v>1686</v>
      </c>
      <c r="AJ26" s="15"/>
      <c r="AK26" s="15"/>
      <c r="AL26" s="15"/>
      <c r="AM26" s="15"/>
      <c r="AN26" s="15"/>
      <c r="AO26" s="854" t="s">
        <v>73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>
        <f>ROUND(BC28/C28*C26,0)</f>
        <v>504</v>
      </c>
      <c r="BD26" s="15"/>
      <c r="BE26" s="15">
        <f t="shared" si="17"/>
        <v>14452.5</v>
      </c>
      <c r="BF26" s="70">
        <f t="shared" si="13"/>
        <v>516.16</v>
      </c>
      <c r="BG26" s="222">
        <f>T26+V26</f>
        <v>9333</v>
      </c>
      <c r="BH26" s="222">
        <f>U26+W26</f>
        <v>2929.5</v>
      </c>
      <c r="BI26" s="222">
        <f>X26+Y26+Z26</f>
        <v>0</v>
      </c>
      <c r="BJ26" s="222">
        <f>BC26</f>
        <v>504</v>
      </c>
      <c r="BK26" s="222">
        <f>BB26</f>
        <v>0</v>
      </c>
      <c r="BL26" s="222">
        <f>AA26+AB26+AC26+AD26+AE26+AF26+AG26+AH26+AJ26+AK26+AL26+AM26+AN26+AP26+AQ26+AR26+AS26+AT26+AU26+AV26+AW26+AX26+AY26+AZ26+BA26+BD26</f>
        <v>1686</v>
      </c>
      <c r="BM26" s="222">
        <f>BG26+BH26+BI26+BJ26+BL26</f>
        <v>14452.5</v>
      </c>
      <c r="BN26" s="965" t="s">
        <v>73</v>
      </c>
    </row>
    <row r="27" spans="1:70" ht="70.5" customHeight="1">
      <c r="A27" s="362" t="s">
        <v>359</v>
      </c>
      <c r="B27" s="435" t="s">
        <v>101</v>
      </c>
      <c r="C27" s="313">
        <v>28</v>
      </c>
      <c r="D27" s="957"/>
      <c r="E27" s="8">
        <f t="shared" si="33"/>
        <v>437.95</v>
      </c>
      <c r="F27" s="8">
        <f t="shared" si="0"/>
        <v>0</v>
      </c>
      <c r="G27" s="8">
        <f t="shared" si="23"/>
        <v>437.95</v>
      </c>
      <c r="H27" s="8">
        <f t="shared" si="34"/>
        <v>60.21</v>
      </c>
      <c r="I27" s="8">
        <f t="shared" si="2"/>
        <v>0</v>
      </c>
      <c r="J27" s="8">
        <f t="shared" si="3"/>
        <v>0</v>
      </c>
      <c r="K27" s="8">
        <f t="shared" si="4"/>
        <v>0</v>
      </c>
      <c r="L27" s="11">
        <f t="shared" si="5"/>
        <v>0</v>
      </c>
      <c r="M27" s="11">
        <f t="shared" si="6"/>
        <v>18</v>
      </c>
      <c r="N27" s="11">
        <f t="shared" si="7"/>
        <v>0</v>
      </c>
      <c r="O27" s="8">
        <f t="shared" si="24"/>
        <v>516.16</v>
      </c>
      <c r="P27" s="8">
        <f t="shared" si="9"/>
        <v>0</v>
      </c>
      <c r="Q27" s="8">
        <f t="shared" si="10"/>
        <v>0</v>
      </c>
      <c r="R27" s="40">
        <f t="shared" si="22"/>
        <v>516.16</v>
      </c>
      <c r="S27" s="957"/>
      <c r="T27" s="15">
        <v>9333</v>
      </c>
      <c r="U27" s="15">
        <v>2929.5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>
        <f>AF28-AF26</f>
        <v>1686</v>
      </c>
      <c r="AG27" s="15"/>
      <c r="AH27" s="15"/>
      <c r="AI27" s="15">
        <f>AA27+AB27+AC27+AD27+AE27+AF27+AH27+AG27</f>
        <v>1686</v>
      </c>
      <c r="AJ27" s="15"/>
      <c r="AK27" s="15"/>
      <c r="AL27" s="15"/>
      <c r="AM27" s="15"/>
      <c r="AN27" s="15"/>
      <c r="AO27" s="969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>
        <f>BC28-BC26</f>
        <v>504</v>
      </c>
      <c r="BD27" s="15"/>
      <c r="BE27" s="15">
        <f t="shared" si="17"/>
        <v>14452.5</v>
      </c>
      <c r="BF27" s="70">
        <f t="shared" si="13"/>
        <v>516.16</v>
      </c>
      <c r="BG27" s="222">
        <f>T27+V27</f>
        <v>9333</v>
      </c>
      <c r="BH27" s="222">
        <f>U27+W27</f>
        <v>2929.5</v>
      </c>
      <c r="BI27" s="222">
        <f>X27+Y27+Z27</f>
        <v>0</v>
      </c>
      <c r="BJ27" s="222">
        <f>BC27</f>
        <v>504</v>
      </c>
      <c r="BK27" s="222">
        <f t="shared" si="18"/>
        <v>0</v>
      </c>
      <c r="BL27" s="222">
        <f>AA27+AB27+AC27+AD27+AE27+AF27+AG27+AH27+AJ27+AK27+AL27+AM27+AN27+AP27+AQ27+AR27+AS27+AT27+AU27+AV27+AW27+AX27+AY27+AZ27+BA27+BD27</f>
        <v>1686</v>
      </c>
      <c r="BM27" s="222">
        <f>BG27+BH27+BI27+BJ27+BL27</f>
        <v>14452.5</v>
      </c>
      <c r="BN27" s="965"/>
    </row>
    <row r="28" spans="1:70" s="98" customFormat="1" ht="18" customHeight="1">
      <c r="A28" s="13" t="s">
        <v>42</v>
      </c>
      <c r="B28" s="402"/>
      <c r="C28" s="315">
        <f>C26+C27</f>
        <v>56</v>
      </c>
      <c r="D28" s="958"/>
      <c r="E28" s="22">
        <f t="shared" si="33"/>
        <v>437.95</v>
      </c>
      <c r="F28" s="22">
        <f t="shared" si="0"/>
        <v>0</v>
      </c>
      <c r="G28" s="22">
        <f t="shared" si="23"/>
        <v>437.95</v>
      </c>
      <c r="H28" s="22">
        <f t="shared" si="34"/>
        <v>60.21</v>
      </c>
      <c r="I28" s="22">
        <f t="shared" si="2"/>
        <v>0</v>
      </c>
      <c r="J28" s="22">
        <f t="shared" si="3"/>
        <v>0</v>
      </c>
      <c r="K28" s="22">
        <f t="shared" si="4"/>
        <v>0</v>
      </c>
      <c r="L28" s="23">
        <f t="shared" si="5"/>
        <v>0</v>
      </c>
      <c r="M28" s="23">
        <f t="shared" si="6"/>
        <v>18</v>
      </c>
      <c r="N28" s="23">
        <f t="shared" si="7"/>
        <v>0</v>
      </c>
      <c r="O28" s="22">
        <f t="shared" si="24"/>
        <v>516.16</v>
      </c>
      <c r="P28" s="22">
        <f t="shared" si="9"/>
        <v>0</v>
      </c>
      <c r="Q28" s="22">
        <f t="shared" si="10"/>
        <v>0</v>
      </c>
      <c r="R28" s="39">
        <f t="shared" si="22"/>
        <v>516.16</v>
      </c>
      <c r="S28" s="958"/>
      <c r="T28" s="224">
        <f>T26+T27</f>
        <v>18666</v>
      </c>
      <c r="U28" s="224">
        <f t="shared" ref="U28:AH28" si="39">U26+U27</f>
        <v>5859</v>
      </c>
      <c r="V28" s="224">
        <f t="shared" si="39"/>
        <v>0</v>
      </c>
      <c r="W28" s="224">
        <f t="shared" si="39"/>
        <v>0</v>
      </c>
      <c r="X28" s="224">
        <f t="shared" si="39"/>
        <v>0</v>
      </c>
      <c r="Y28" s="224">
        <f t="shared" si="39"/>
        <v>0</v>
      </c>
      <c r="Z28" s="224">
        <f t="shared" si="39"/>
        <v>0</v>
      </c>
      <c r="AA28" s="224">
        <f t="shared" si="39"/>
        <v>0</v>
      </c>
      <c r="AB28" s="224">
        <f t="shared" si="39"/>
        <v>0</v>
      </c>
      <c r="AC28" s="224">
        <f t="shared" si="39"/>
        <v>0</v>
      </c>
      <c r="AD28" s="224">
        <f t="shared" si="39"/>
        <v>0</v>
      </c>
      <c r="AE28" s="224">
        <f t="shared" si="39"/>
        <v>0</v>
      </c>
      <c r="AF28" s="224">
        <v>3372</v>
      </c>
      <c r="AG28" s="224">
        <f t="shared" si="39"/>
        <v>0</v>
      </c>
      <c r="AH28" s="224">
        <f t="shared" si="39"/>
        <v>0</v>
      </c>
      <c r="AI28" s="224">
        <f t="shared" ref="AI28:AN28" si="40">AI26+AI27</f>
        <v>3372</v>
      </c>
      <c r="AJ28" s="224">
        <f t="shared" si="40"/>
        <v>0</v>
      </c>
      <c r="AK28" s="224">
        <f t="shared" si="40"/>
        <v>0</v>
      </c>
      <c r="AL28" s="224">
        <f t="shared" si="40"/>
        <v>0</v>
      </c>
      <c r="AM28" s="224">
        <f t="shared" si="40"/>
        <v>0</v>
      </c>
      <c r="AN28" s="224">
        <f t="shared" si="40"/>
        <v>0</v>
      </c>
      <c r="AO28" s="970"/>
      <c r="AP28" s="224">
        <f t="shared" ref="AP28:BD28" si="41">AP26+AP27</f>
        <v>0</v>
      </c>
      <c r="AQ28" s="224">
        <f t="shared" si="41"/>
        <v>0</v>
      </c>
      <c r="AR28" s="224">
        <f t="shared" si="41"/>
        <v>0</v>
      </c>
      <c r="AS28" s="224">
        <f t="shared" si="41"/>
        <v>0</v>
      </c>
      <c r="AT28" s="224">
        <f t="shared" si="41"/>
        <v>0</v>
      </c>
      <c r="AU28" s="224">
        <f t="shared" si="41"/>
        <v>0</v>
      </c>
      <c r="AV28" s="224">
        <f t="shared" si="41"/>
        <v>0</v>
      </c>
      <c r="AW28" s="224">
        <f t="shared" si="41"/>
        <v>0</v>
      </c>
      <c r="AX28" s="224">
        <f t="shared" si="41"/>
        <v>0</v>
      </c>
      <c r="AY28" s="224">
        <f t="shared" si="41"/>
        <v>0</v>
      </c>
      <c r="AZ28" s="224">
        <f t="shared" si="41"/>
        <v>0</v>
      </c>
      <c r="BA28" s="224">
        <f t="shared" si="41"/>
        <v>0</v>
      </c>
      <c r="BB28" s="224">
        <f t="shared" si="41"/>
        <v>0</v>
      </c>
      <c r="BC28" s="224">
        <v>1008</v>
      </c>
      <c r="BD28" s="224">
        <f t="shared" si="41"/>
        <v>0</v>
      </c>
      <c r="BE28" s="224">
        <f t="shared" si="17"/>
        <v>28905</v>
      </c>
      <c r="BF28" s="70">
        <f t="shared" si="13"/>
        <v>516.16</v>
      </c>
      <c r="BG28" s="326">
        <f t="shared" ref="BG28:BM28" si="42">BG26+BG27</f>
        <v>18666</v>
      </c>
      <c r="BH28" s="601">
        <f t="shared" si="42"/>
        <v>5859</v>
      </c>
      <c r="BI28" s="326">
        <f t="shared" si="42"/>
        <v>0</v>
      </c>
      <c r="BJ28" s="326">
        <f t="shared" si="42"/>
        <v>1008</v>
      </c>
      <c r="BK28" s="368">
        <f t="shared" si="18"/>
        <v>0</v>
      </c>
      <c r="BL28" s="326">
        <f t="shared" si="42"/>
        <v>3372</v>
      </c>
      <c r="BM28" s="326">
        <f t="shared" si="42"/>
        <v>28905</v>
      </c>
      <c r="BN28" s="965"/>
      <c r="BO28" s="333"/>
      <c r="BP28" s="333"/>
      <c r="BQ28" s="333"/>
      <c r="BR28" s="333"/>
    </row>
    <row r="29" spans="1:70" ht="64.5" customHeight="1">
      <c r="A29" s="83" t="s">
        <v>147</v>
      </c>
      <c r="B29" s="9" t="s">
        <v>89</v>
      </c>
      <c r="C29" s="313">
        <v>40</v>
      </c>
      <c r="D29" s="851" t="s">
        <v>74</v>
      </c>
      <c r="E29" s="8">
        <f t="shared" si="33"/>
        <v>1476.93</v>
      </c>
      <c r="F29" s="8">
        <f t="shared" si="0"/>
        <v>0</v>
      </c>
      <c r="G29" s="8">
        <f t="shared" si="23"/>
        <v>1476.93</v>
      </c>
      <c r="H29" s="8">
        <f t="shared" si="34"/>
        <v>60.45</v>
      </c>
      <c r="I29" s="8">
        <f t="shared" si="2"/>
        <v>0</v>
      </c>
      <c r="J29" s="8">
        <f t="shared" si="3"/>
        <v>0</v>
      </c>
      <c r="K29" s="8">
        <f t="shared" si="4"/>
        <v>0</v>
      </c>
      <c r="L29" s="11">
        <f t="shared" si="5"/>
        <v>0</v>
      </c>
      <c r="M29" s="11">
        <f t="shared" si="6"/>
        <v>18</v>
      </c>
      <c r="N29" s="11">
        <f t="shared" si="7"/>
        <v>0</v>
      </c>
      <c r="O29" s="8">
        <f t="shared" si="24"/>
        <v>1555.38</v>
      </c>
      <c r="P29" s="8">
        <f t="shared" si="9"/>
        <v>0</v>
      </c>
      <c r="Q29" s="8">
        <f t="shared" si="10"/>
        <v>0</v>
      </c>
      <c r="R29" s="40">
        <f t="shared" si="22"/>
        <v>1555.38</v>
      </c>
      <c r="S29" s="851" t="s">
        <v>74</v>
      </c>
      <c r="T29" s="321">
        <v>44128</v>
      </c>
      <c r="U29" s="15">
        <v>14949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>
        <f>ROUND(AF31/C31*C29,0)</f>
        <v>2418</v>
      </c>
      <c r="AG29" s="15"/>
      <c r="AH29" s="15"/>
      <c r="AI29" s="15">
        <f>AA29+AB29+AC29+AD29+AE29+AF29+AH29+AG29</f>
        <v>2418</v>
      </c>
      <c r="AJ29" s="15"/>
      <c r="AK29" s="15"/>
      <c r="AL29" s="15"/>
      <c r="AM29" s="15"/>
      <c r="AN29" s="15"/>
      <c r="AO29" s="854" t="s">
        <v>74</v>
      </c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>
        <f>ROUND(BC31/C31*C29,0)</f>
        <v>720</v>
      </c>
      <c r="BD29" s="15"/>
      <c r="BE29" s="15">
        <f t="shared" si="17"/>
        <v>62215</v>
      </c>
      <c r="BF29" s="70">
        <f t="shared" si="13"/>
        <v>1555.38</v>
      </c>
      <c r="BG29" s="222">
        <f>T29+V29</f>
        <v>44128</v>
      </c>
      <c r="BH29" s="222">
        <f>U29+W29</f>
        <v>14949</v>
      </c>
      <c r="BI29" s="222">
        <f>X29+Y29+Z29</f>
        <v>0</v>
      </c>
      <c r="BJ29" s="222">
        <f>BC29</f>
        <v>720</v>
      </c>
      <c r="BK29" s="222">
        <f>BB29</f>
        <v>0</v>
      </c>
      <c r="BL29" s="222">
        <f>AA29+AB29+AC29+AD29+AE29+AF29+AG29+AH29+AJ29+AK29+AL29+AM29+AN29+AP29+AQ29+AR29+AS29+AT29+AU29+AV29+AW29+AX29+AY29+AZ29+BA29+BD29</f>
        <v>2418</v>
      </c>
      <c r="BM29" s="222">
        <f>BG29+BH29+BI29+BJ29+BL29</f>
        <v>62215</v>
      </c>
      <c r="BN29" s="965" t="s">
        <v>74</v>
      </c>
    </row>
    <row r="30" spans="1:70" ht="65.25" customHeight="1">
      <c r="A30" s="362" t="s">
        <v>359</v>
      </c>
      <c r="B30" s="435" t="s">
        <v>101</v>
      </c>
      <c r="C30" s="313">
        <v>5</v>
      </c>
      <c r="D30" s="957"/>
      <c r="E30" s="8">
        <f t="shared" si="33"/>
        <v>1575.4</v>
      </c>
      <c r="F30" s="8">
        <f t="shared" si="0"/>
        <v>0</v>
      </c>
      <c r="G30" s="8">
        <f t="shared" si="23"/>
        <v>1575.4</v>
      </c>
      <c r="H30" s="8">
        <f t="shared" si="34"/>
        <v>60.4</v>
      </c>
      <c r="I30" s="8">
        <f t="shared" si="2"/>
        <v>0</v>
      </c>
      <c r="J30" s="8">
        <f t="shared" si="3"/>
        <v>0</v>
      </c>
      <c r="K30" s="8">
        <f t="shared" si="4"/>
        <v>0</v>
      </c>
      <c r="L30" s="11">
        <f t="shared" si="5"/>
        <v>0</v>
      </c>
      <c r="M30" s="11">
        <f t="shared" si="6"/>
        <v>18</v>
      </c>
      <c r="N30" s="11">
        <f t="shared" si="7"/>
        <v>0</v>
      </c>
      <c r="O30" s="8">
        <f t="shared" si="24"/>
        <v>1653.8000000000002</v>
      </c>
      <c r="P30" s="8">
        <f t="shared" si="9"/>
        <v>0</v>
      </c>
      <c r="Q30" s="8">
        <f t="shared" si="10"/>
        <v>0</v>
      </c>
      <c r="R30" s="40">
        <f t="shared" si="22"/>
        <v>1653.8000000000002</v>
      </c>
      <c r="S30" s="957"/>
      <c r="T30" s="321">
        <v>5884</v>
      </c>
      <c r="U30" s="15">
        <f>ROUND(T30*0.33875,0)</f>
        <v>1993</v>
      </c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>
        <f>AF31-AF29</f>
        <v>302</v>
      </c>
      <c r="AG30" s="15"/>
      <c r="AH30" s="15"/>
      <c r="AI30" s="15">
        <f>AA30+AB30+AC30+AD30+AE30+AF30+AH30+AG30</f>
        <v>302</v>
      </c>
      <c r="AJ30" s="15"/>
      <c r="AK30" s="15"/>
      <c r="AL30" s="15"/>
      <c r="AM30" s="15"/>
      <c r="AN30" s="15"/>
      <c r="AO30" s="969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>
        <f>BC31-BC29</f>
        <v>90</v>
      </c>
      <c r="BD30" s="15"/>
      <c r="BE30" s="15">
        <f t="shared" si="17"/>
        <v>8269</v>
      </c>
      <c r="BF30" s="70">
        <f t="shared" si="13"/>
        <v>1653.8</v>
      </c>
      <c r="BG30" s="222">
        <f>T30+V30</f>
        <v>5884</v>
      </c>
      <c r="BH30" s="222">
        <f>U30+W30</f>
        <v>1993</v>
      </c>
      <c r="BI30" s="222">
        <f>X30+Y30+Z30</f>
        <v>0</v>
      </c>
      <c r="BJ30" s="222">
        <f>BC30</f>
        <v>90</v>
      </c>
      <c r="BK30" s="222">
        <f t="shared" si="18"/>
        <v>0</v>
      </c>
      <c r="BL30" s="222">
        <f>AA30+AB30+AC30+AD30+AE30+AF30+AG30+AH30+AJ30+AK30+AL30+AM30+AN30+AP30+AQ30+AR30+AS30+AT30+AU30+AV30+AW30+AX30+AY30+AZ30+BA30+BD30</f>
        <v>302</v>
      </c>
      <c r="BM30" s="222">
        <f>BG30+BH30+BI30+BJ30+BL30</f>
        <v>8269</v>
      </c>
      <c r="BN30" s="965"/>
    </row>
    <row r="31" spans="1:70" s="98" customFormat="1" ht="24" customHeight="1">
      <c r="A31" s="13" t="s">
        <v>42</v>
      </c>
      <c r="B31" s="402"/>
      <c r="C31" s="315">
        <f>C29+C30</f>
        <v>45</v>
      </c>
      <c r="D31" s="958"/>
      <c r="E31" s="22">
        <f>ROUND((T31+U31)/C31,3)</f>
        <v>1487.867</v>
      </c>
      <c r="F31" s="22">
        <f t="shared" si="0"/>
        <v>0</v>
      </c>
      <c r="G31" s="22">
        <f t="shared" si="23"/>
        <v>1487.867</v>
      </c>
      <c r="H31" s="22">
        <f>ROUND(AI31/C31,3)</f>
        <v>60.444000000000003</v>
      </c>
      <c r="I31" s="22">
        <f t="shared" si="2"/>
        <v>0</v>
      </c>
      <c r="J31" s="22">
        <f t="shared" si="3"/>
        <v>0</v>
      </c>
      <c r="K31" s="22">
        <f t="shared" si="4"/>
        <v>0</v>
      </c>
      <c r="L31" s="23">
        <f t="shared" si="5"/>
        <v>0</v>
      </c>
      <c r="M31" s="23">
        <f t="shared" si="6"/>
        <v>18</v>
      </c>
      <c r="N31" s="23">
        <f t="shared" si="7"/>
        <v>0</v>
      </c>
      <c r="O31" s="22">
        <f t="shared" si="24"/>
        <v>1566.3109999999999</v>
      </c>
      <c r="P31" s="22">
        <f t="shared" si="9"/>
        <v>0</v>
      </c>
      <c r="Q31" s="22">
        <f t="shared" si="10"/>
        <v>0</v>
      </c>
      <c r="R31" s="39">
        <f t="shared" si="22"/>
        <v>1566.3109999999999</v>
      </c>
      <c r="S31" s="958"/>
      <c r="T31" s="224">
        <f>T29+T30</f>
        <v>50012</v>
      </c>
      <c r="U31" s="224">
        <f>U29+U30</f>
        <v>16942</v>
      </c>
      <c r="V31" s="224">
        <f t="shared" ref="V31:AH31" si="43">V29+V30</f>
        <v>0</v>
      </c>
      <c r="W31" s="224">
        <f t="shared" si="43"/>
        <v>0</v>
      </c>
      <c r="X31" s="224">
        <f t="shared" si="43"/>
        <v>0</v>
      </c>
      <c r="Y31" s="224">
        <f t="shared" si="43"/>
        <v>0</v>
      </c>
      <c r="Z31" s="224">
        <f t="shared" si="43"/>
        <v>0</v>
      </c>
      <c r="AA31" s="224">
        <f t="shared" si="43"/>
        <v>0</v>
      </c>
      <c r="AB31" s="224">
        <f t="shared" si="43"/>
        <v>0</v>
      </c>
      <c r="AC31" s="224">
        <f t="shared" si="43"/>
        <v>0</v>
      </c>
      <c r="AD31" s="224">
        <f t="shared" si="43"/>
        <v>0</v>
      </c>
      <c r="AE31" s="224">
        <f t="shared" si="43"/>
        <v>0</v>
      </c>
      <c r="AF31" s="224">
        <v>2720</v>
      </c>
      <c r="AG31" s="224">
        <f t="shared" si="43"/>
        <v>0</v>
      </c>
      <c r="AH31" s="224">
        <f t="shared" si="43"/>
        <v>0</v>
      </c>
      <c r="AI31" s="224">
        <f t="shared" ref="AI31:AN31" si="44">AI29+AI30</f>
        <v>2720</v>
      </c>
      <c r="AJ31" s="224">
        <f t="shared" si="44"/>
        <v>0</v>
      </c>
      <c r="AK31" s="224">
        <f t="shared" si="44"/>
        <v>0</v>
      </c>
      <c r="AL31" s="224">
        <f t="shared" si="44"/>
        <v>0</v>
      </c>
      <c r="AM31" s="224">
        <f t="shared" si="44"/>
        <v>0</v>
      </c>
      <c r="AN31" s="224">
        <f t="shared" si="44"/>
        <v>0</v>
      </c>
      <c r="AO31" s="970"/>
      <c r="AP31" s="224">
        <f t="shared" ref="AP31:BD31" si="45">AP29+AP30</f>
        <v>0</v>
      </c>
      <c r="AQ31" s="224">
        <f t="shared" si="45"/>
        <v>0</v>
      </c>
      <c r="AR31" s="224">
        <f t="shared" si="45"/>
        <v>0</v>
      </c>
      <c r="AS31" s="224">
        <f t="shared" si="45"/>
        <v>0</v>
      </c>
      <c r="AT31" s="224">
        <f t="shared" si="45"/>
        <v>0</v>
      </c>
      <c r="AU31" s="224">
        <f t="shared" si="45"/>
        <v>0</v>
      </c>
      <c r="AV31" s="224">
        <f t="shared" si="45"/>
        <v>0</v>
      </c>
      <c r="AW31" s="224">
        <f t="shared" si="45"/>
        <v>0</v>
      </c>
      <c r="AX31" s="224">
        <f t="shared" si="45"/>
        <v>0</v>
      </c>
      <c r="AY31" s="224">
        <f t="shared" si="45"/>
        <v>0</v>
      </c>
      <c r="AZ31" s="224">
        <f t="shared" si="45"/>
        <v>0</v>
      </c>
      <c r="BA31" s="224">
        <f t="shared" si="45"/>
        <v>0</v>
      </c>
      <c r="BB31" s="224">
        <f t="shared" si="45"/>
        <v>0</v>
      </c>
      <c r="BC31" s="224">
        <v>810</v>
      </c>
      <c r="BD31" s="224">
        <f t="shared" si="45"/>
        <v>0</v>
      </c>
      <c r="BE31" s="224">
        <f t="shared" si="17"/>
        <v>70484</v>
      </c>
      <c r="BF31" s="70">
        <f t="shared" si="13"/>
        <v>1566.31</v>
      </c>
      <c r="BG31" s="326">
        <f t="shared" ref="BG31:BM31" si="46">BG29+BG30</f>
        <v>50012</v>
      </c>
      <c r="BH31" s="601">
        <f t="shared" si="46"/>
        <v>16942</v>
      </c>
      <c r="BI31" s="326">
        <f t="shared" si="46"/>
        <v>0</v>
      </c>
      <c r="BJ31" s="326">
        <f t="shared" si="46"/>
        <v>810</v>
      </c>
      <c r="BK31" s="368">
        <f t="shared" si="18"/>
        <v>0</v>
      </c>
      <c r="BL31" s="326">
        <f t="shared" si="46"/>
        <v>2720</v>
      </c>
      <c r="BM31" s="326">
        <f t="shared" si="46"/>
        <v>70484</v>
      </c>
      <c r="BN31" s="965"/>
      <c r="BO31" s="333"/>
      <c r="BP31" s="333"/>
      <c r="BQ31" s="333"/>
      <c r="BR31" s="333"/>
    </row>
    <row r="32" spans="1:70" ht="61.5" customHeight="1">
      <c r="A32" s="83" t="s">
        <v>147</v>
      </c>
      <c r="B32" s="9" t="s">
        <v>89</v>
      </c>
      <c r="C32" s="313">
        <v>15</v>
      </c>
      <c r="D32" s="851" t="s">
        <v>75</v>
      </c>
      <c r="E32" s="8">
        <f>ROUND((T32+U32)/C32,2)</f>
        <v>696.33</v>
      </c>
      <c r="F32" s="8">
        <f t="shared" si="0"/>
        <v>0</v>
      </c>
      <c r="G32" s="8">
        <f t="shared" si="23"/>
        <v>696.33</v>
      </c>
      <c r="H32" s="8">
        <f>ROUND(AI32/C32,2)</f>
        <v>60.27</v>
      </c>
      <c r="I32" s="8">
        <f t="shared" si="2"/>
        <v>0</v>
      </c>
      <c r="J32" s="8">
        <f t="shared" si="3"/>
        <v>0</v>
      </c>
      <c r="K32" s="8">
        <f t="shared" si="4"/>
        <v>0</v>
      </c>
      <c r="L32" s="11">
        <f t="shared" si="5"/>
        <v>0</v>
      </c>
      <c r="M32" s="11">
        <f t="shared" si="6"/>
        <v>18</v>
      </c>
      <c r="N32" s="11">
        <f t="shared" si="7"/>
        <v>0</v>
      </c>
      <c r="O32" s="8">
        <f t="shared" si="24"/>
        <v>774.6</v>
      </c>
      <c r="P32" s="8">
        <f t="shared" si="9"/>
        <v>0</v>
      </c>
      <c r="Q32" s="8">
        <f t="shared" si="10"/>
        <v>0</v>
      </c>
      <c r="R32" s="40">
        <f t="shared" si="22"/>
        <v>774.6</v>
      </c>
      <c r="S32" s="851" t="s">
        <v>75</v>
      </c>
      <c r="T32" s="15">
        <v>7863</v>
      </c>
      <c r="U32" s="15">
        <v>2582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>
        <f>ROUND(AF34/C34*C32,0)</f>
        <v>904</v>
      </c>
      <c r="AG32" s="15"/>
      <c r="AH32" s="15"/>
      <c r="AI32" s="15">
        <f>AA32+AB32+AC32+AD32+AE32+AF32+AH32+AG32</f>
        <v>904</v>
      </c>
      <c r="AJ32" s="15"/>
      <c r="AK32" s="15"/>
      <c r="AL32" s="15"/>
      <c r="AM32" s="15"/>
      <c r="AN32" s="15"/>
      <c r="AO32" s="854" t="s">
        <v>75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>
        <f>ROUND(BC34/C34*C32,0)</f>
        <v>270</v>
      </c>
      <c r="BD32" s="15"/>
      <c r="BE32" s="15">
        <f t="shared" si="17"/>
        <v>11619</v>
      </c>
      <c r="BF32" s="70">
        <f t="shared" si="13"/>
        <v>774.6</v>
      </c>
      <c r="BG32" s="222">
        <f>T32+V32</f>
        <v>7863</v>
      </c>
      <c r="BH32" s="222">
        <f>U32+W32</f>
        <v>2582</v>
      </c>
      <c r="BI32" s="222">
        <f>X32+Y32+Z32</f>
        <v>0</v>
      </c>
      <c r="BJ32" s="222">
        <f>BC32</f>
        <v>270</v>
      </c>
      <c r="BK32" s="222">
        <f>BB32</f>
        <v>0</v>
      </c>
      <c r="BL32" s="222">
        <f>AA32+AB32+AC32+AD32+AE32+AF32+AG32+AH32+AJ32+AK32+AL32+AM32+AN32+AP32+AQ32+AR32+AS32+AT32+AU32+AV32+AW32+AX32+AY32+AZ32+BA32+BD32</f>
        <v>904</v>
      </c>
      <c r="BM32" s="222">
        <f>BG32+BH32+BI32+BJ32+BL32</f>
        <v>11619</v>
      </c>
      <c r="BN32" s="965" t="s">
        <v>75</v>
      </c>
    </row>
    <row r="33" spans="1:70" ht="52.5" customHeight="1">
      <c r="A33" s="362" t="s">
        <v>359</v>
      </c>
      <c r="B33" s="435" t="s">
        <v>101</v>
      </c>
      <c r="C33" s="313">
        <v>170</v>
      </c>
      <c r="D33" s="957"/>
      <c r="E33" s="8">
        <f>ROUND((T33+U33)/C33,3)</f>
        <v>714.37599999999998</v>
      </c>
      <c r="F33" s="8">
        <f t="shared" si="0"/>
        <v>0</v>
      </c>
      <c r="G33" s="8">
        <f t="shared" si="23"/>
        <v>714.37599999999998</v>
      </c>
      <c r="H33" s="8">
        <f t="shared" ref="H33:H38" si="47">ROUND(AI33/C33,3)</f>
        <v>60.271000000000001</v>
      </c>
      <c r="I33" s="8">
        <f t="shared" si="2"/>
        <v>0</v>
      </c>
      <c r="J33" s="8">
        <f t="shared" si="3"/>
        <v>0</v>
      </c>
      <c r="K33" s="8">
        <f t="shared" si="4"/>
        <v>0</v>
      </c>
      <c r="L33" s="11">
        <f t="shared" si="5"/>
        <v>0</v>
      </c>
      <c r="M33" s="11">
        <f t="shared" ref="M33:M38" si="48">ROUND(BC33/C33,3)</f>
        <v>18</v>
      </c>
      <c r="N33" s="11">
        <f t="shared" si="7"/>
        <v>0</v>
      </c>
      <c r="O33" s="8">
        <f t="shared" si="24"/>
        <v>792.64699999999993</v>
      </c>
      <c r="P33" s="8">
        <f t="shared" si="9"/>
        <v>0</v>
      </c>
      <c r="Q33" s="8">
        <f t="shared" si="10"/>
        <v>0</v>
      </c>
      <c r="R33" s="40">
        <f t="shared" si="22"/>
        <v>792.64699999999993</v>
      </c>
      <c r="S33" s="957"/>
      <c r="T33" s="15">
        <v>91497</v>
      </c>
      <c r="U33" s="15">
        <f>ROUND(T33*0.3273,0)</f>
        <v>29947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>
        <f>AF34-AF32</f>
        <v>10246</v>
      </c>
      <c r="AG33" s="15"/>
      <c r="AH33" s="15"/>
      <c r="AI33" s="15">
        <f>AA33+AB33+AC33+AD33+AE33+AF33+AH33+AG33</f>
        <v>10246</v>
      </c>
      <c r="AJ33" s="15"/>
      <c r="AK33" s="15"/>
      <c r="AL33" s="15"/>
      <c r="AM33" s="15"/>
      <c r="AN33" s="15"/>
      <c r="AO33" s="969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>
        <f>BC34-BC32</f>
        <v>3060</v>
      </c>
      <c r="BD33" s="15"/>
      <c r="BE33" s="15">
        <f t="shared" si="17"/>
        <v>134750</v>
      </c>
      <c r="BF33" s="70">
        <f t="shared" si="13"/>
        <v>792.65</v>
      </c>
      <c r="BG33" s="222">
        <f>T33+V33</f>
        <v>91497</v>
      </c>
      <c r="BH33" s="222">
        <f>U33+W33</f>
        <v>29947</v>
      </c>
      <c r="BI33" s="222">
        <f>X33+Y33+Z33</f>
        <v>0</v>
      </c>
      <c r="BJ33" s="222">
        <f>BC33</f>
        <v>3060</v>
      </c>
      <c r="BK33" s="222">
        <f t="shared" si="18"/>
        <v>0</v>
      </c>
      <c r="BL33" s="222">
        <f>AA33+AB33+AC33+AD33+AE33+AF33+AG33+AH33+AJ33+AK33+AL33+AM33+AN33+AP33+AQ33+AR33+AS33+AT33+AU33+AV33+AW33+AX33+AY33+AZ33+BA33+BD33</f>
        <v>10246</v>
      </c>
      <c r="BM33" s="222">
        <f>BG33+BH33+BI33+BJ33+BL33</f>
        <v>134750</v>
      </c>
      <c r="BN33" s="965"/>
    </row>
    <row r="34" spans="1:70" s="98" customFormat="1" ht="21.75" customHeight="1">
      <c r="A34" s="13" t="s">
        <v>42</v>
      </c>
      <c r="B34" s="402"/>
      <c r="C34" s="315">
        <f>C32+C33</f>
        <v>185</v>
      </c>
      <c r="D34" s="958"/>
      <c r="E34" s="22">
        <f>ROUND((T34+U34)/C34,3)</f>
        <v>712.91399999999999</v>
      </c>
      <c r="F34" s="22">
        <f t="shared" si="0"/>
        <v>0</v>
      </c>
      <c r="G34" s="22">
        <f t="shared" si="23"/>
        <v>712.91399999999999</v>
      </c>
      <c r="H34" s="22">
        <f t="shared" si="47"/>
        <v>60.27</v>
      </c>
      <c r="I34" s="22">
        <f t="shared" si="2"/>
        <v>0</v>
      </c>
      <c r="J34" s="22">
        <f t="shared" si="3"/>
        <v>0</v>
      </c>
      <c r="K34" s="22">
        <f t="shared" si="4"/>
        <v>0</v>
      </c>
      <c r="L34" s="23">
        <f t="shared" si="5"/>
        <v>0</v>
      </c>
      <c r="M34" s="23">
        <f t="shared" si="48"/>
        <v>18</v>
      </c>
      <c r="N34" s="23">
        <f t="shared" si="7"/>
        <v>0</v>
      </c>
      <c r="O34" s="22">
        <f t="shared" si="24"/>
        <v>791.18399999999997</v>
      </c>
      <c r="P34" s="22">
        <f t="shared" si="9"/>
        <v>0</v>
      </c>
      <c r="Q34" s="22">
        <f t="shared" si="10"/>
        <v>0</v>
      </c>
      <c r="R34" s="39">
        <f t="shared" si="22"/>
        <v>791.18399999999997</v>
      </c>
      <c r="S34" s="958"/>
      <c r="T34" s="224">
        <f>T32+T33</f>
        <v>99360</v>
      </c>
      <c r="U34" s="224">
        <f t="shared" ref="U34:AH34" si="49">U32+U33</f>
        <v>32529</v>
      </c>
      <c r="V34" s="224">
        <f t="shared" si="49"/>
        <v>0</v>
      </c>
      <c r="W34" s="224">
        <f t="shared" si="49"/>
        <v>0</v>
      </c>
      <c r="X34" s="224">
        <f t="shared" si="49"/>
        <v>0</v>
      </c>
      <c r="Y34" s="224">
        <f t="shared" si="49"/>
        <v>0</v>
      </c>
      <c r="Z34" s="224">
        <f t="shared" si="49"/>
        <v>0</v>
      </c>
      <c r="AA34" s="224">
        <f t="shared" si="49"/>
        <v>0</v>
      </c>
      <c r="AB34" s="224">
        <f t="shared" si="49"/>
        <v>0</v>
      </c>
      <c r="AC34" s="224">
        <f t="shared" si="49"/>
        <v>0</v>
      </c>
      <c r="AD34" s="224">
        <f t="shared" si="49"/>
        <v>0</v>
      </c>
      <c r="AE34" s="224">
        <f t="shared" si="49"/>
        <v>0</v>
      </c>
      <c r="AF34" s="224">
        <v>11150</v>
      </c>
      <c r="AG34" s="224">
        <f t="shared" si="49"/>
        <v>0</v>
      </c>
      <c r="AH34" s="224">
        <f t="shared" si="49"/>
        <v>0</v>
      </c>
      <c r="AI34" s="224">
        <f t="shared" ref="AI34:AN34" si="50">AI32+AI33</f>
        <v>11150</v>
      </c>
      <c r="AJ34" s="224">
        <f t="shared" si="50"/>
        <v>0</v>
      </c>
      <c r="AK34" s="224">
        <f t="shared" si="50"/>
        <v>0</v>
      </c>
      <c r="AL34" s="224">
        <f t="shared" si="50"/>
        <v>0</v>
      </c>
      <c r="AM34" s="224">
        <f t="shared" si="50"/>
        <v>0</v>
      </c>
      <c r="AN34" s="224">
        <f t="shared" si="50"/>
        <v>0</v>
      </c>
      <c r="AO34" s="970"/>
      <c r="AP34" s="224">
        <f t="shared" ref="AP34:BD34" si="51">AP32+AP33</f>
        <v>0</v>
      </c>
      <c r="AQ34" s="224">
        <f t="shared" si="51"/>
        <v>0</v>
      </c>
      <c r="AR34" s="224">
        <f t="shared" si="51"/>
        <v>0</v>
      </c>
      <c r="AS34" s="224">
        <f t="shared" si="51"/>
        <v>0</v>
      </c>
      <c r="AT34" s="224">
        <f t="shared" si="51"/>
        <v>0</v>
      </c>
      <c r="AU34" s="224">
        <f t="shared" si="51"/>
        <v>0</v>
      </c>
      <c r="AV34" s="224">
        <f t="shared" si="51"/>
        <v>0</v>
      </c>
      <c r="AW34" s="224">
        <f t="shared" si="51"/>
        <v>0</v>
      </c>
      <c r="AX34" s="224">
        <f t="shared" si="51"/>
        <v>0</v>
      </c>
      <c r="AY34" s="224">
        <f t="shared" si="51"/>
        <v>0</v>
      </c>
      <c r="AZ34" s="224">
        <f t="shared" si="51"/>
        <v>0</v>
      </c>
      <c r="BA34" s="224">
        <f t="shared" si="51"/>
        <v>0</v>
      </c>
      <c r="BB34" s="224">
        <f t="shared" si="51"/>
        <v>0</v>
      </c>
      <c r="BC34" s="224">
        <v>3330</v>
      </c>
      <c r="BD34" s="224">
        <f t="shared" si="51"/>
        <v>0</v>
      </c>
      <c r="BE34" s="224">
        <f t="shared" si="17"/>
        <v>146369</v>
      </c>
      <c r="BF34" s="70">
        <f t="shared" si="13"/>
        <v>791.18</v>
      </c>
      <c r="BG34" s="326">
        <f t="shared" ref="BG34:BM34" si="52">BG32+BG33</f>
        <v>99360</v>
      </c>
      <c r="BH34" s="601">
        <f t="shared" si="52"/>
        <v>32529</v>
      </c>
      <c r="BI34" s="326">
        <f t="shared" si="52"/>
        <v>0</v>
      </c>
      <c r="BJ34" s="326">
        <f t="shared" si="52"/>
        <v>3330</v>
      </c>
      <c r="BK34" s="368">
        <f t="shared" si="18"/>
        <v>0</v>
      </c>
      <c r="BL34" s="326">
        <f t="shared" si="52"/>
        <v>11150</v>
      </c>
      <c r="BM34" s="326">
        <f t="shared" si="52"/>
        <v>146369</v>
      </c>
      <c r="BN34" s="965"/>
      <c r="BO34" s="333"/>
      <c r="BP34" s="333"/>
      <c r="BQ34" s="333"/>
      <c r="BR34" s="333"/>
    </row>
    <row r="35" spans="1:70" ht="68.25" customHeight="1">
      <c r="A35" s="83" t="s">
        <v>147</v>
      </c>
      <c r="B35" s="9" t="s">
        <v>89</v>
      </c>
      <c r="C35" s="313">
        <v>180</v>
      </c>
      <c r="D35" s="851" t="s">
        <v>76</v>
      </c>
      <c r="E35" s="8">
        <f>ROUND((T35+U35)/C35,3)</f>
        <v>325.06700000000001</v>
      </c>
      <c r="F35" s="8">
        <f t="shared" si="0"/>
        <v>0</v>
      </c>
      <c r="G35" s="8">
        <f t="shared" si="23"/>
        <v>325.06700000000001</v>
      </c>
      <c r="H35" s="8">
        <f t="shared" si="47"/>
        <v>60.210999999999999</v>
      </c>
      <c r="I35" s="8">
        <f t="shared" si="2"/>
        <v>0</v>
      </c>
      <c r="J35" s="8">
        <f t="shared" si="3"/>
        <v>0</v>
      </c>
      <c r="K35" s="8">
        <f t="shared" si="4"/>
        <v>0</v>
      </c>
      <c r="L35" s="11">
        <f t="shared" si="5"/>
        <v>0</v>
      </c>
      <c r="M35" s="11">
        <f t="shared" si="48"/>
        <v>18</v>
      </c>
      <c r="N35" s="11">
        <f t="shared" si="7"/>
        <v>0</v>
      </c>
      <c r="O35" s="8">
        <f t="shared" si="24"/>
        <v>403.27800000000002</v>
      </c>
      <c r="P35" s="8">
        <f t="shared" si="9"/>
        <v>0</v>
      </c>
      <c r="Q35" s="8">
        <f t="shared" si="10"/>
        <v>0</v>
      </c>
      <c r="R35" s="40">
        <f t="shared" si="22"/>
        <v>403.27800000000002</v>
      </c>
      <c r="S35" s="851" t="s">
        <v>76</v>
      </c>
      <c r="T35" s="15">
        <v>44940</v>
      </c>
      <c r="U35" s="15">
        <f>ROUND(T35*0.302,0)</f>
        <v>13572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>
        <f>ROUND(AF37/C37*C35,0)</f>
        <v>10838</v>
      </c>
      <c r="AG35" s="15"/>
      <c r="AH35" s="15"/>
      <c r="AI35" s="15">
        <f>AF35</f>
        <v>10838</v>
      </c>
      <c r="AJ35" s="15"/>
      <c r="AK35" s="15"/>
      <c r="AL35" s="15"/>
      <c r="AM35" s="15"/>
      <c r="AN35" s="15"/>
      <c r="AO35" s="854" t="s">
        <v>76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>
        <f>ROUND(BC37/C37*C35,0)</f>
        <v>3240</v>
      </c>
      <c r="BD35" s="15"/>
      <c r="BE35" s="15">
        <f t="shared" si="17"/>
        <v>72590</v>
      </c>
      <c r="BF35" s="70">
        <f t="shared" si="13"/>
        <v>403.28</v>
      </c>
      <c r="BG35" s="222">
        <f>T35+V35</f>
        <v>44940</v>
      </c>
      <c r="BH35" s="222">
        <f>U35+W35</f>
        <v>13572</v>
      </c>
      <c r="BI35" s="222">
        <f>X35+Y35+Z35</f>
        <v>0</v>
      </c>
      <c r="BJ35" s="222">
        <f>BC35</f>
        <v>3240</v>
      </c>
      <c r="BK35" s="222">
        <f>BB35</f>
        <v>0</v>
      </c>
      <c r="BL35" s="222">
        <f>AA35+AB35+AC35+AD35+AE35+AF35+AG35+AH35+AJ35+AK35+AL35+AM35+AN35+AP35+AQ35+AR35+AS35+AT35+AU35+AV35+AW35+AX35+AY35+AZ35+BA35+BD35</f>
        <v>10838</v>
      </c>
      <c r="BM35" s="222">
        <f>BG35+BH35+BI35+BJ35+BL35</f>
        <v>72590</v>
      </c>
      <c r="BN35" s="965" t="s">
        <v>76</v>
      </c>
    </row>
    <row r="36" spans="1:70" ht="56.25" customHeight="1">
      <c r="A36" s="362" t="s">
        <v>359</v>
      </c>
      <c r="B36" s="435" t="s">
        <v>101</v>
      </c>
      <c r="C36" s="313">
        <v>212</v>
      </c>
      <c r="D36" s="957"/>
      <c r="E36" s="8">
        <f>ROUND((T36+U36)/C36,3)</f>
        <v>325.05200000000002</v>
      </c>
      <c r="F36" s="8">
        <f t="shared" si="0"/>
        <v>0</v>
      </c>
      <c r="G36" s="8">
        <f t="shared" si="23"/>
        <v>325.05200000000002</v>
      </c>
      <c r="H36" s="8">
        <f t="shared" si="47"/>
        <v>60.207999999999998</v>
      </c>
      <c r="I36" s="8">
        <f t="shared" si="2"/>
        <v>0</v>
      </c>
      <c r="J36" s="8">
        <f t="shared" si="3"/>
        <v>0</v>
      </c>
      <c r="K36" s="8">
        <f t="shared" si="4"/>
        <v>0</v>
      </c>
      <c r="L36" s="11">
        <f t="shared" si="5"/>
        <v>0</v>
      </c>
      <c r="M36" s="11">
        <f t="shared" si="48"/>
        <v>18</v>
      </c>
      <c r="N36" s="11">
        <f t="shared" si="7"/>
        <v>0</v>
      </c>
      <c r="O36" s="8">
        <f t="shared" si="24"/>
        <v>403.26</v>
      </c>
      <c r="P36" s="8">
        <f t="shared" si="9"/>
        <v>0</v>
      </c>
      <c r="Q36" s="8">
        <f t="shared" si="10"/>
        <v>0</v>
      </c>
      <c r="R36" s="40">
        <f t="shared" si="22"/>
        <v>403.26</v>
      </c>
      <c r="S36" s="957"/>
      <c r="T36" s="15">
        <v>52927</v>
      </c>
      <c r="U36" s="15">
        <f>ROUND(T36*0.302,0)</f>
        <v>15984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>
        <f>AF37-AF35</f>
        <v>12764</v>
      </c>
      <c r="AG36" s="15"/>
      <c r="AH36" s="15"/>
      <c r="AI36" s="15">
        <f>AF36</f>
        <v>12764</v>
      </c>
      <c r="AJ36" s="15"/>
      <c r="AK36" s="15"/>
      <c r="AL36" s="15"/>
      <c r="AM36" s="15"/>
      <c r="AN36" s="15"/>
      <c r="AO36" s="969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>
        <f>BC37-BC35</f>
        <v>3816</v>
      </c>
      <c r="BD36" s="15"/>
      <c r="BE36" s="15">
        <f t="shared" si="17"/>
        <v>85491</v>
      </c>
      <c r="BF36" s="70">
        <f t="shared" si="13"/>
        <v>403.26</v>
      </c>
      <c r="BG36" s="222">
        <f>T36+V36</f>
        <v>52927</v>
      </c>
      <c r="BH36" s="222">
        <f>U36+W36</f>
        <v>15984</v>
      </c>
      <c r="BI36" s="222">
        <f>X36+Y36+Z36</f>
        <v>0</v>
      </c>
      <c r="BJ36" s="222">
        <f>BC36</f>
        <v>3816</v>
      </c>
      <c r="BK36" s="222">
        <f t="shared" si="18"/>
        <v>0</v>
      </c>
      <c r="BL36" s="222">
        <f>AA36+AB36+AC36+AD36+AE36+AF36+AG36+AH36+AJ36+AK36+AL36+AM36+AN36+AP36+AQ36+AR36+AS36+AT36+AU36+AV36+AW36+AX36+AY36+AZ36+BA36+BD36</f>
        <v>12764</v>
      </c>
      <c r="BM36" s="222">
        <f>BG36+BH36+BI36+BJ36+BL36</f>
        <v>85491</v>
      </c>
      <c r="BN36" s="965"/>
    </row>
    <row r="37" spans="1:70" s="98" customFormat="1" ht="25.5" customHeight="1">
      <c r="A37" s="13" t="s">
        <v>42</v>
      </c>
      <c r="B37" s="402"/>
      <c r="C37" s="315">
        <f>C35+C36</f>
        <v>392</v>
      </c>
      <c r="D37" s="958"/>
      <c r="E37" s="22">
        <f>ROUND((T37+U37)/C37,2)</f>
        <v>325.06</v>
      </c>
      <c r="F37" s="22">
        <f t="shared" si="0"/>
        <v>0</v>
      </c>
      <c r="G37" s="22">
        <f t="shared" si="23"/>
        <v>325.06</v>
      </c>
      <c r="H37" s="22">
        <f t="shared" si="47"/>
        <v>60.209000000000003</v>
      </c>
      <c r="I37" s="22">
        <f t="shared" si="2"/>
        <v>0</v>
      </c>
      <c r="J37" s="22">
        <f t="shared" si="3"/>
        <v>0</v>
      </c>
      <c r="K37" s="22">
        <f t="shared" si="4"/>
        <v>0</v>
      </c>
      <c r="L37" s="23">
        <f t="shared" si="5"/>
        <v>0</v>
      </c>
      <c r="M37" s="23">
        <f t="shared" si="48"/>
        <v>18</v>
      </c>
      <c r="N37" s="23">
        <f t="shared" si="7"/>
        <v>0</v>
      </c>
      <c r="O37" s="22">
        <f t="shared" si="24"/>
        <v>403.26900000000001</v>
      </c>
      <c r="P37" s="22">
        <f t="shared" si="9"/>
        <v>0</v>
      </c>
      <c r="Q37" s="22">
        <f t="shared" si="10"/>
        <v>0</v>
      </c>
      <c r="R37" s="39">
        <f t="shared" si="22"/>
        <v>403.26900000000001</v>
      </c>
      <c r="S37" s="958"/>
      <c r="T37" s="224">
        <f>T35+T36</f>
        <v>97867</v>
      </c>
      <c r="U37" s="224">
        <f>U35+U36</f>
        <v>29556</v>
      </c>
      <c r="V37" s="224">
        <f t="shared" ref="V37:AH37" si="53">V35+V36</f>
        <v>0</v>
      </c>
      <c r="W37" s="224">
        <f t="shared" si="53"/>
        <v>0</v>
      </c>
      <c r="X37" s="224">
        <f t="shared" si="53"/>
        <v>0</v>
      </c>
      <c r="Y37" s="224">
        <f t="shared" si="53"/>
        <v>0</v>
      </c>
      <c r="Z37" s="224">
        <f t="shared" si="53"/>
        <v>0</v>
      </c>
      <c r="AA37" s="224">
        <f t="shared" si="53"/>
        <v>0</v>
      </c>
      <c r="AB37" s="224">
        <f t="shared" si="53"/>
        <v>0</v>
      </c>
      <c r="AC37" s="224">
        <f t="shared" si="53"/>
        <v>0</v>
      </c>
      <c r="AD37" s="224">
        <f t="shared" si="53"/>
        <v>0</v>
      </c>
      <c r="AE37" s="224">
        <f t="shared" si="53"/>
        <v>0</v>
      </c>
      <c r="AF37" s="224">
        <v>23602</v>
      </c>
      <c r="AG37" s="224">
        <f t="shared" si="53"/>
        <v>0</v>
      </c>
      <c r="AH37" s="224">
        <f t="shared" si="53"/>
        <v>0</v>
      </c>
      <c r="AI37" s="224">
        <f t="shared" ref="AI37:AN37" si="54">AI35+AI36</f>
        <v>23602</v>
      </c>
      <c r="AJ37" s="224">
        <f t="shared" si="54"/>
        <v>0</v>
      </c>
      <c r="AK37" s="224">
        <f t="shared" si="54"/>
        <v>0</v>
      </c>
      <c r="AL37" s="224">
        <f t="shared" si="54"/>
        <v>0</v>
      </c>
      <c r="AM37" s="224">
        <f t="shared" si="54"/>
        <v>0</v>
      </c>
      <c r="AN37" s="224">
        <f t="shared" si="54"/>
        <v>0</v>
      </c>
      <c r="AO37" s="970"/>
      <c r="AP37" s="224">
        <f t="shared" ref="AP37:BD37" si="55">AP35+AP36</f>
        <v>0</v>
      </c>
      <c r="AQ37" s="224">
        <f t="shared" si="55"/>
        <v>0</v>
      </c>
      <c r="AR37" s="224">
        <f t="shared" si="55"/>
        <v>0</v>
      </c>
      <c r="AS37" s="224">
        <f t="shared" si="55"/>
        <v>0</v>
      </c>
      <c r="AT37" s="224">
        <f t="shared" si="55"/>
        <v>0</v>
      </c>
      <c r="AU37" s="224">
        <f t="shared" si="55"/>
        <v>0</v>
      </c>
      <c r="AV37" s="224">
        <f t="shared" si="55"/>
        <v>0</v>
      </c>
      <c r="AW37" s="224">
        <f t="shared" si="55"/>
        <v>0</v>
      </c>
      <c r="AX37" s="224">
        <f t="shared" si="55"/>
        <v>0</v>
      </c>
      <c r="AY37" s="224">
        <f t="shared" si="55"/>
        <v>0</v>
      </c>
      <c r="AZ37" s="224">
        <f t="shared" si="55"/>
        <v>0</v>
      </c>
      <c r="BA37" s="224">
        <f t="shared" si="55"/>
        <v>0</v>
      </c>
      <c r="BB37" s="224">
        <f t="shared" si="55"/>
        <v>0</v>
      </c>
      <c r="BC37" s="224">
        <v>7056</v>
      </c>
      <c r="BD37" s="224">
        <f t="shared" si="55"/>
        <v>0</v>
      </c>
      <c r="BE37" s="224">
        <f t="shared" si="17"/>
        <v>158081</v>
      </c>
      <c r="BF37" s="70">
        <f t="shared" si="13"/>
        <v>403.27</v>
      </c>
      <c r="BG37" s="326">
        <f t="shared" ref="BG37:BM37" si="56">BG35+BG36</f>
        <v>97867</v>
      </c>
      <c r="BH37" s="601">
        <f t="shared" si="56"/>
        <v>29556</v>
      </c>
      <c r="BI37" s="326">
        <f t="shared" si="56"/>
        <v>0</v>
      </c>
      <c r="BJ37" s="326">
        <f t="shared" si="56"/>
        <v>7056</v>
      </c>
      <c r="BK37" s="368">
        <f t="shared" si="18"/>
        <v>0</v>
      </c>
      <c r="BL37" s="326">
        <f t="shared" si="56"/>
        <v>23602</v>
      </c>
      <c r="BM37" s="326">
        <f t="shared" si="56"/>
        <v>158081</v>
      </c>
      <c r="BN37" s="965"/>
      <c r="BO37" s="333"/>
      <c r="BP37" s="333"/>
      <c r="BQ37" s="333"/>
      <c r="BR37" s="333"/>
    </row>
    <row r="38" spans="1:70" ht="45" customHeight="1">
      <c r="A38" s="83" t="s">
        <v>147</v>
      </c>
      <c r="B38" s="9" t="s">
        <v>89</v>
      </c>
      <c r="C38" s="313">
        <v>1435</v>
      </c>
      <c r="D38" s="851" t="s">
        <v>77</v>
      </c>
      <c r="E38" s="8">
        <f>ROUND((T38+U38)/C38,3)</f>
        <v>387.40800000000002</v>
      </c>
      <c r="F38" s="8">
        <f t="shared" si="0"/>
        <v>0</v>
      </c>
      <c r="G38" s="8">
        <f t="shared" si="23"/>
        <v>387.40800000000002</v>
      </c>
      <c r="H38" s="8">
        <f t="shared" si="47"/>
        <v>60.197000000000003</v>
      </c>
      <c r="I38" s="8">
        <f t="shared" si="2"/>
        <v>0</v>
      </c>
      <c r="J38" s="8">
        <f t="shared" si="3"/>
        <v>0</v>
      </c>
      <c r="K38" s="8">
        <f t="shared" si="4"/>
        <v>0</v>
      </c>
      <c r="L38" s="11">
        <f t="shared" si="5"/>
        <v>0</v>
      </c>
      <c r="M38" s="11">
        <f t="shared" si="48"/>
        <v>18</v>
      </c>
      <c r="N38" s="11">
        <f t="shared" si="7"/>
        <v>0</v>
      </c>
      <c r="O38" s="8">
        <f t="shared" si="24"/>
        <v>465.60500000000002</v>
      </c>
      <c r="P38" s="8">
        <f t="shared" si="9"/>
        <v>0</v>
      </c>
      <c r="Q38" s="8">
        <f t="shared" si="10"/>
        <v>0</v>
      </c>
      <c r="R38" s="40">
        <f t="shared" si="22"/>
        <v>465.60500000000002</v>
      </c>
      <c r="S38" s="851" t="s">
        <v>77</v>
      </c>
      <c r="T38" s="15">
        <v>424541</v>
      </c>
      <c r="U38" s="15">
        <v>131390</v>
      </c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>
        <f>ROUND(AF40/C40*C38,0)</f>
        <v>86382</v>
      </c>
      <c r="AG38" s="15"/>
      <c r="AH38" s="15"/>
      <c r="AI38" s="15">
        <f>AA38+AB38+AC38+AD38+AE38+AF38+AH38+AG38</f>
        <v>86382</v>
      </c>
      <c r="AJ38" s="15"/>
      <c r="AK38" s="15"/>
      <c r="AL38" s="15"/>
      <c r="AM38" s="15"/>
      <c r="AN38" s="15"/>
      <c r="AO38" s="854" t="s">
        <v>77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>
        <f>ROUND(BC40/C40*C38,0)</f>
        <v>25830</v>
      </c>
      <c r="BD38" s="15"/>
      <c r="BE38" s="15">
        <f t="shared" si="17"/>
        <v>668143</v>
      </c>
      <c r="BF38" s="70">
        <f>ROUND(BE38/C38,3)</f>
        <v>465.60500000000002</v>
      </c>
      <c r="BG38" s="222">
        <f>T38+V38</f>
        <v>424541</v>
      </c>
      <c r="BH38" s="222">
        <f>U38+W38</f>
        <v>131390</v>
      </c>
      <c r="BI38" s="222">
        <f>X38+Y38+Z38</f>
        <v>0</v>
      </c>
      <c r="BJ38" s="222">
        <f>BC38</f>
        <v>25830</v>
      </c>
      <c r="BK38" s="222">
        <f>BB38</f>
        <v>0</v>
      </c>
      <c r="BL38" s="222">
        <f>AA38+AB38+AC38+AD38+AE38+AF38+AG38+AH38+AJ38+AK38+AL38+AM38+AN38+AP38+AQ38+AR38+AS38+AT38+AU38+AV38+AW38+AX38+AY38+AZ38+BA38+BD38</f>
        <v>86382</v>
      </c>
      <c r="BM38" s="222">
        <f>BG38+BH38+BI38+BJ38+BL38</f>
        <v>668143</v>
      </c>
      <c r="BN38" s="965" t="s">
        <v>77</v>
      </c>
    </row>
    <row r="39" spans="1:70" ht="45" customHeight="1">
      <c r="A39" s="362" t="s">
        <v>359</v>
      </c>
      <c r="B39" s="435" t="s">
        <v>101</v>
      </c>
      <c r="C39" s="313">
        <v>215</v>
      </c>
      <c r="D39" s="957"/>
      <c r="E39" s="8">
        <f>ROUND((T39+U39)/C39,2)</f>
        <v>386.75</v>
      </c>
      <c r="F39" s="8">
        <f t="shared" si="0"/>
        <v>0</v>
      </c>
      <c r="G39" s="8">
        <f t="shared" si="23"/>
        <v>386.75</v>
      </c>
      <c r="H39" s="8">
        <f>ROUND(AI39/C39,2)</f>
        <v>60.2</v>
      </c>
      <c r="I39" s="8">
        <f t="shared" si="2"/>
        <v>0</v>
      </c>
      <c r="J39" s="8">
        <f t="shared" si="3"/>
        <v>0</v>
      </c>
      <c r="K39" s="8">
        <f t="shared" si="4"/>
        <v>0</v>
      </c>
      <c r="L39" s="11">
        <f t="shared" si="5"/>
        <v>0</v>
      </c>
      <c r="M39" s="11">
        <f t="shared" si="6"/>
        <v>18</v>
      </c>
      <c r="N39" s="11">
        <f t="shared" si="7"/>
        <v>0</v>
      </c>
      <c r="O39" s="8">
        <f t="shared" si="24"/>
        <v>464.95</v>
      </c>
      <c r="P39" s="8">
        <f t="shared" si="9"/>
        <v>0</v>
      </c>
      <c r="Q39" s="8">
        <f t="shared" si="10"/>
        <v>0</v>
      </c>
      <c r="R39" s="40">
        <f t="shared" si="22"/>
        <v>464.95</v>
      </c>
      <c r="S39" s="957"/>
      <c r="T39" s="15">
        <v>63523</v>
      </c>
      <c r="U39" s="15">
        <f>ROUND(T39*0.309,0)</f>
        <v>19629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>
        <f>AF40-AF38</f>
        <v>12942</v>
      </c>
      <c r="AG39" s="15"/>
      <c r="AH39" s="15"/>
      <c r="AI39" s="15">
        <f>AA39+AB39+AC39+AD39+AE39+AF39+AH39+AG39</f>
        <v>12942</v>
      </c>
      <c r="AJ39" s="15"/>
      <c r="AK39" s="15"/>
      <c r="AL39" s="15"/>
      <c r="AM39" s="15"/>
      <c r="AN39" s="15"/>
      <c r="AO39" s="969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>
        <f>BC40-BC38</f>
        <v>3870</v>
      </c>
      <c r="BD39" s="15"/>
      <c r="BE39" s="15">
        <f t="shared" si="17"/>
        <v>99964</v>
      </c>
      <c r="BF39" s="70">
        <f t="shared" si="13"/>
        <v>464.95</v>
      </c>
      <c r="BG39" s="222">
        <f>T39+V39</f>
        <v>63523</v>
      </c>
      <c r="BH39" s="222">
        <f>U39+W39</f>
        <v>19629</v>
      </c>
      <c r="BI39" s="222">
        <f>X39+Y39+Z39</f>
        <v>0</v>
      </c>
      <c r="BJ39" s="222">
        <f>BC39</f>
        <v>3870</v>
      </c>
      <c r="BK39" s="222">
        <f t="shared" si="18"/>
        <v>0</v>
      </c>
      <c r="BL39" s="222">
        <f>AA39+AB39+AC39+AD39+AE39+AF39+AG39+AH39+AJ39+AK39+AL39+AM39+AN39+AP39+AQ39+AR39+AS39+AT39+AU39+AV39+AW39+AX39+AY39+AZ39+BA39+BD39</f>
        <v>12942</v>
      </c>
      <c r="BM39" s="222">
        <f>BG39+BH39+BI39+BJ39+BL39</f>
        <v>99964</v>
      </c>
      <c r="BN39" s="965"/>
    </row>
    <row r="40" spans="1:70" s="98" customFormat="1" ht="18.75" customHeight="1">
      <c r="A40" s="13" t="s">
        <v>42</v>
      </c>
      <c r="B40" s="402"/>
      <c r="C40" s="315">
        <f>C38+C39</f>
        <v>1650</v>
      </c>
      <c r="D40" s="958"/>
      <c r="E40" s="22">
        <f>ROUND((T40+U40)/C40,3)</f>
        <v>387.32299999999998</v>
      </c>
      <c r="F40" s="22">
        <f t="shared" si="0"/>
        <v>0</v>
      </c>
      <c r="G40" s="22">
        <f t="shared" si="23"/>
        <v>387.32299999999998</v>
      </c>
      <c r="H40" s="22">
        <f>ROUND(AI40/C40,3)</f>
        <v>60.195999999999998</v>
      </c>
      <c r="I40" s="22">
        <f t="shared" si="2"/>
        <v>0</v>
      </c>
      <c r="J40" s="22">
        <f t="shared" si="3"/>
        <v>0</v>
      </c>
      <c r="K40" s="22">
        <f t="shared" si="4"/>
        <v>0</v>
      </c>
      <c r="L40" s="23">
        <f t="shared" si="5"/>
        <v>0</v>
      </c>
      <c r="M40" s="23">
        <f>ROUND(BC40/C40,3)</f>
        <v>18</v>
      </c>
      <c r="N40" s="23">
        <f t="shared" si="7"/>
        <v>0</v>
      </c>
      <c r="O40" s="22">
        <f t="shared" si="24"/>
        <v>465.51900000000001</v>
      </c>
      <c r="P40" s="22">
        <f t="shared" si="9"/>
        <v>0</v>
      </c>
      <c r="Q40" s="22">
        <f t="shared" si="10"/>
        <v>0</v>
      </c>
      <c r="R40" s="39">
        <f t="shared" si="22"/>
        <v>465.51900000000001</v>
      </c>
      <c r="S40" s="958"/>
      <c r="T40" s="224">
        <f>T38+T39</f>
        <v>488064</v>
      </c>
      <c r="U40" s="224">
        <f t="shared" ref="U40:AH40" si="57">U38+U39</f>
        <v>151019</v>
      </c>
      <c r="V40" s="224">
        <f t="shared" si="57"/>
        <v>0</v>
      </c>
      <c r="W40" s="224">
        <f t="shared" si="57"/>
        <v>0</v>
      </c>
      <c r="X40" s="224">
        <f t="shared" si="57"/>
        <v>0</v>
      </c>
      <c r="Y40" s="224">
        <f t="shared" si="57"/>
        <v>0</v>
      </c>
      <c r="Z40" s="224">
        <f t="shared" si="57"/>
        <v>0</v>
      </c>
      <c r="AA40" s="224">
        <f t="shared" si="57"/>
        <v>0</v>
      </c>
      <c r="AB40" s="224">
        <f t="shared" si="57"/>
        <v>0</v>
      </c>
      <c r="AC40" s="224">
        <f t="shared" si="57"/>
        <v>0</v>
      </c>
      <c r="AD40" s="224">
        <f t="shared" si="57"/>
        <v>0</v>
      </c>
      <c r="AE40" s="224">
        <f t="shared" si="57"/>
        <v>0</v>
      </c>
      <c r="AF40" s="224">
        <v>99324</v>
      </c>
      <c r="AG40" s="224">
        <f t="shared" si="57"/>
        <v>0</v>
      </c>
      <c r="AH40" s="224">
        <f t="shared" si="57"/>
        <v>0</v>
      </c>
      <c r="AI40" s="224">
        <f t="shared" ref="AI40:AN40" si="58">AI38+AI39</f>
        <v>99324</v>
      </c>
      <c r="AJ40" s="224">
        <f t="shared" si="58"/>
        <v>0</v>
      </c>
      <c r="AK40" s="224">
        <f t="shared" si="58"/>
        <v>0</v>
      </c>
      <c r="AL40" s="224">
        <f t="shared" si="58"/>
        <v>0</v>
      </c>
      <c r="AM40" s="224">
        <f t="shared" si="58"/>
        <v>0</v>
      </c>
      <c r="AN40" s="224">
        <f t="shared" si="58"/>
        <v>0</v>
      </c>
      <c r="AO40" s="970"/>
      <c r="AP40" s="224">
        <f t="shared" ref="AP40:BD40" si="59">AP38+AP39</f>
        <v>0</v>
      </c>
      <c r="AQ40" s="224">
        <f t="shared" si="59"/>
        <v>0</v>
      </c>
      <c r="AR40" s="224">
        <f t="shared" si="59"/>
        <v>0</v>
      </c>
      <c r="AS40" s="224">
        <f t="shared" si="59"/>
        <v>0</v>
      </c>
      <c r="AT40" s="224">
        <f t="shared" si="59"/>
        <v>0</v>
      </c>
      <c r="AU40" s="224">
        <f t="shared" si="59"/>
        <v>0</v>
      </c>
      <c r="AV40" s="224">
        <f t="shared" si="59"/>
        <v>0</v>
      </c>
      <c r="AW40" s="224">
        <f t="shared" si="59"/>
        <v>0</v>
      </c>
      <c r="AX40" s="224">
        <f t="shared" si="59"/>
        <v>0</v>
      </c>
      <c r="AY40" s="224">
        <f t="shared" si="59"/>
        <v>0</v>
      </c>
      <c r="AZ40" s="224">
        <f t="shared" si="59"/>
        <v>0</v>
      </c>
      <c r="BA40" s="224">
        <f t="shared" si="59"/>
        <v>0</v>
      </c>
      <c r="BB40" s="224">
        <f t="shared" si="59"/>
        <v>0</v>
      </c>
      <c r="BC40" s="224">
        <v>29700</v>
      </c>
      <c r="BD40" s="224">
        <f t="shared" si="59"/>
        <v>0</v>
      </c>
      <c r="BE40" s="224">
        <f t="shared" si="17"/>
        <v>768107</v>
      </c>
      <c r="BF40" s="70">
        <f t="shared" si="13"/>
        <v>465.52</v>
      </c>
      <c r="BG40" s="326">
        <f t="shared" ref="BG40:BM40" si="60">BG38+BG39</f>
        <v>488064</v>
      </c>
      <c r="BH40" s="601">
        <f t="shared" si="60"/>
        <v>151019</v>
      </c>
      <c r="BI40" s="326">
        <f t="shared" si="60"/>
        <v>0</v>
      </c>
      <c r="BJ40" s="326">
        <f t="shared" si="60"/>
        <v>29700</v>
      </c>
      <c r="BK40" s="368">
        <f t="shared" si="18"/>
        <v>0</v>
      </c>
      <c r="BL40" s="326">
        <f t="shared" si="60"/>
        <v>99324</v>
      </c>
      <c r="BM40" s="326">
        <f t="shared" si="60"/>
        <v>768107</v>
      </c>
      <c r="BN40" s="965"/>
      <c r="BO40" s="333"/>
      <c r="BP40" s="333"/>
      <c r="BQ40" s="333"/>
      <c r="BR40" s="333"/>
    </row>
    <row r="41" spans="1:70" ht="45" customHeight="1">
      <c r="A41" s="83" t="s">
        <v>147</v>
      </c>
      <c r="B41" s="9" t="s">
        <v>89</v>
      </c>
      <c r="C41" s="313">
        <v>260</v>
      </c>
      <c r="D41" s="851" t="s">
        <v>78</v>
      </c>
      <c r="E41" s="8">
        <f>ROUND((T41+U41)/C41,3)</f>
        <v>445.88499999999999</v>
      </c>
      <c r="F41" s="8">
        <f t="shared" si="0"/>
        <v>0</v>
      </c>
      <c r="G41" s="8">
        <f t="shared" si="23"/>
        <v>445.88499999999999</v>
      </c>
      <c r="H41" s="8">
        <f>ROUND(AI41/C41,2)</f>
        <v>60.21</v>
      </c>
      <c r="I41" s="8">
        <f t="shared" si="2"/>
        <v>0</v>
      </c>
      <c r="J41" s="8">
        <f t="shared" si="3"/>
        <v>0</v>
      </c>
      <c r="K41" s="8">
        <f t="shared" si="4"/>
        <v>0</v>
      </c>
      <c r="L41" s="11">
        <f t="shared" si="5"/>
        <v>0</v>
      </c>
      <c r="M41" s="11">
        <f t="shared" si="6"/>
        <v>18</v>
      </c>
      <c r="N41" s="11">
        <f t="shared" si="7"/>
        <v>0</v>
      </c>
      <c r="O41" s="8">
        <f t="shared" si="24"/>
        <v>524.09500000000003</v>
      </c>
      <c r="P41" s="8">
        <f t="shared" si="9"/>
        <v>0</v>
      </c>
      <c r="Q41" s="8">
        <f t="shared" si="10"/>
        <v>0</v>
      </c>
      <c r="R41" s="40">
        <f t="shared" si="22"/>
        <v>524.09500000000003</v>
      </c>
      <c r="S41" s="851" t="s">
        <v>78</v>
      </c>
      <c r="T41" s="15">
        <v>88193</v>
      </c>
      <c r="U41" s="15">
        <f>ROUND(T41*0.3145,0)</f>
        <v>27737</v>
      </c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>
        <f>ROUND(AF43/C43*C41,0)</f>
        <v>15655</v>
      </c>
      <c r="AG41" s="15"/>
      <c r="AH41" s="15"/>
      <c r="AI41" s="15">
        <f>AA41+AB41+AC41+AD41+AE41+AF41+AH41+AG41</f>
        <v>15655</v>
      </c>
      <c r="AJ41" s="15"/>
      <c r="AK41" s="15"/>
      <c r="AL41" s="15"/>
      <c r="AM41" s="15"/>
      <c r="AN41" s="15"/>
      <c r="AO41" s="854" t="s">
        <v>78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>
        <f>ROUND(BC43/C43*C41,0)</f>
        <v>4680</v>
      </c>
      <c r="BD41" s="15"/>
      <c r="BE41" s="15">
        <f t="shared" si="17"/>
        <v>136265</v>
      </c>
      <c r="BF41" s="70">
        <f t="shared" si="13"/>
        <v>524.1</v>
      </c>
      <c r="BG41" s="222">
        <f>T41+V41</f>
        <v>88193</v>
      </c>
      <c r="BH41" s="222">
        <f>U41+W41</f>
        <v>27737</v>
      </c>
      <c r="BI41" s="222">
        <f>X41+Y41+Z41</f>
        <v>0</v>
      </c>
      <c r="BJ41" s="222">
        <f>BC41</f>
        <v>4680</v>
      </c>
      <c r="BK41" s="222">
        <f>BB41</f>
        <v>0</v>
      </c>
      <c r="BL41" s="222">
        <f>AA41+AB41+AC41+AD41+AE41+AF41+AG41+AH41+AJ41+AK41+AL41+AM41+AN41+AP41+AQ41+AR41+AS41+AT41+AU41+AV41+AW41+AX41+AY41+AZ41+BA41+BD41</f>
        <v>15655</v>
      </c>
      <c r="BM41" s="222">
        <f>BG41+BH41+BI41+BJ41+BL41</f>
        <v>136265</v>
      </c>
      <c r="BN41" s="965" t="s">
        <v>78</v>
      </c>
    </row>
    <row r="42" spans="1:70" ht="45" customHeight="1">
      <c r="A42" s="362" t="s">
        <v>359</v>
      </c>
      <c r="B42" s="435" t="s">
        <v>101</v>
      </c>
      <c r="C42" s="313">
        <v>592</v>
      </c>
      <c r="D42" s="957"/>
      <c r="E42" s="8">
        <f>ROUND((T42+U42)/C42,2)</f>
        <v>445.9</v>
      </c>
      <c r="F42" s="8">
        <f t="shared" si="0"/>
        <v>0</v>
      </c>
      <c r="G42" s="8">
        <f t="shared" si="23"/>
        <v>445.9</v>
      </c>
      <c r="H42" s="8">
        <f>ROUND(AI42/C42,2)</f>
        <v>60.21</v>
      </c>
      <c r="I42" s="8">
        <f t="shared" si="2"/>
        <v>0</v>
      </c>
      <c r="J42" s="8">
        <f t="shared" si="3"/>
        <v>0</v>
      </c>
      <c r="K42" s="8">
        <f t="shared" si="4"/>
        <v>0</v>
      </c>
      <c r="L42" s="11">
        <f t="shared" si="5"/>
        <v>0</v>
      </c>
      <c r="M42" s="11">
        <f t="shared" si="6"/>
        <v>18</v>
      </c>
      <c r="N42" s="11">
        <f t="shared" si="7"/>
        <v>0</v>
      </c>
      <c r="O42" s="8">
        <f t="shared" si="24"/>
        <v>524.11</v>
      </c>
      <c r="P42" s="8">
        <f t="shared" si="9"/>
        <v>0</v>
      </c>
      <c r="Q42" s="8">
        <f t="shared" si="10"/>
        <v>0</v>
      </c>
      <c r="R42" s="40">
        <f t="shared" si="22"/>
        <v>524.11</v>
      </c>
      <c r="S42" s="957"/>
      <c r="T42" s="15">
        <v>200808</v>
      </c>
      <c r="U42" s="15">
        <v>63165</v>
      </c>
      <c r="V42" s="15"/>
      <c r="W42" s="298"/>
      <c r="X42" s="15"/>
      <c r="Y42" s="15"/>
      <c r="Z42" s="15"/>
      <c r="AA42" s="15"/>
      <c r="AB42" s="15"/>
      <c r="AC42" s="15"/>
      <c r="AD42" s="299"/>
      <c r="AE42" s="15"/>
      <c r="AF42" s="15">
        <f>AF43-AF41</f>
        <v>35644</v>
      </c>
      <c r="AG42" s="15"/>
      <c r="AH42" s="15"/>
      <c r="AI42" s="15">
        <f>AA42+AB42+AC42+AD42+AE42+AF42+AH42+AG42</f>
        <v>35644</v>
      </c>
      <c r="AJ42" s="15"/>
      <c r="AK42" s="15"/>
      <c r="AL42" s="15"/>
      <c r="AM42" s="15"/>
      <c r="AN42" s="15"/>
      <c r="AO42" s="969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>
        <f>BC43-BC41</f>
        <v>10656</v>
      </c>
      <c r="BD42" s="15"/>
      <c r="BE42" s="15">
        <f t="shared" si="17"/>
        <v>310273</v>
      </c>
      <c r="BF42" s="70">
        <f t="shared" si="13"/>
        <v>524.11</v>
      </c>
      <c r="BG42" s="222">
        <f>T42+V42</f>
        <v>200808</v>
      </c>
      <c r="BH42" s="222">
        <f>U42+W42</f>
        <v>63165</v>
      </c>
      <c r="BI42" s="222">
        <f>X42+Y42+Z42</f>
        <v>0</v>
      </c>
      <c r="BJ42" s="222">
        <f>BC42</f>
        <v>10656</v>
      </c>
      <c r="BK42" s="222">
        <f t="shared" si="18"/>
        <v>0</v>
      </c>
      <c r="BL42" s="222">
        <f>AA42+AB42+AC42+AD42+AE42+AF42+AG42+AH42+AJ42+AK42+AL42+AM42+AN42+AP42+AQ42+AR42+AS42+AT42+AU42+AV42+AW42+AX42+AY42+AZ42+BA42+BD42</f>
        <v>35644</v>
      </c>
      <c r="BM42" s="222">
        <f>BG42+BH42+BI42+BJ42+BL42</f>
        <v>310273</v>
      </c>
      <c r="BN42" s="965"/>
    </row>
    <row r="43" spans="1:70" s="98" customFormat="1" ht="20.25" customHeight="1">
      <c r="A43" s="13" t="s">
        <v>42</v>
      </c>
      <c r="B43" s="402"/>
      <c r="C43" s="315">
        <f>C41+C42</f>
        <v>852</v>
      </c>
      <c r="D43" s="958"/>
      <c r="E43" s="22">
        <f>ROUND((T43+U43)/C43,3)</f>
        <v>445.89600000000002</v>
      </c>
      <c r="F43" s="22">
        <f t="shared" ref="F43:F77" si="61">ROUND((V43+W43)/C43,2)</f>
        <v>0</v>
      </c>
      <c r="G43" s="22">
        <f t="shared" si="23"/>
        <v>445.89600000000002</v>
      </c>
      <c r="H43" s="22">
        <f>ROUND(AI43/C43,3)</f>
        <v>60.21</v>
      </c>
      <c r="I43" s="22">
        <f t="shared" ref="I43:I77" si="62">ROUND((AJ43+AK43+AL43+AM43+AN43)/C43,2)</f>
        <v>0</v>
      </c>
      <c r="J43" s="22">
        <f t="shared" ref="J43:J77" si="63">ROUND((AP43+AQ43+AR43+AS43+AT43)/C43,2)</f>
        <v>0</v>
      </c>
      <c r="K43" s="22">
        <f t="shared" ref="K43:K77" si="64">ROUND((AW43+AX43)/C43,2)</f>
        <v>0</v>
      </c>
      <c r="L43" s="23">
        <f t="shared" ref="L43:L77" si="65">ROUND(BB43/C43,2)</f>
        <v>0</v>
      </c>
      <c r="M43" s="23">
        <f t="shared" ref="M43:M77" si="66">ROUND(BC43/C43,2)</f>
        <v>18</v>
      </c>
      <c r="N43" s="23">
        <f t="shared" ref="N43:N77" si="67">ROUND(BD43/C43,2)</f>
        <v>0</v>
      </c>
      <c r="O43" s="22">
        <f t="shared" si="24"/>
        <v>524.10599999999999</v>
      </c>
      <c r="P43" s="22">
        <f t="shared" ref="P43:P77" si="68">ROUND((X43+Y43+Z43)/C43,2)</f>
        <v>0</v>
      </c>
      <c r="Q43" s="22">
        <f t="shared" ref="Q43:Q77" si="69">ROUND(AU43/C43,2)</f>
        <v>0</v>
      </c>
      <c r="R43" s="39">
        <f t="shared" si="22"/>
        <v>524.10599999999999</v>
      </c>
      <c r="S43" s="958"/>
      <c r="T43" s="224">
        <f>T41+T42</f>
        <v>289001</v>
      </c>
      <c r="U43" s="224">
        <f t="shared" ref="U43:AH43" si="70">U41+U42</f>
        <v>90902</v>
      </c>
      <c r="V43" s="224">
        <f t="shared" si="70"/>
        <v>0</v>
      </c>
      <c r="W43" s="224">
        <f t="shared" si="70"/>
        <v>0</v>
      </c>
      <c r="X43" s="224">
        <f t="shared" si="70"/>
        <v>0</v>
      </c>
      <c r="Y43" s="224">
        <f t="shared" si="70"/>
        <v>0</v>
      </c>
      <c r="Z43" s="224">
        <f t="shared" si="70"/>
        <v>0</v>
      </c>
      <c r="AA43" s="224">
        <f t="shared" si="70"/>
        <v>0</v>
      </c>
      <c r="AB43" s="224">
        <f t="shared" si="70"/>
        <v>0</v>
      </c>
      <c r="AC43" s="224">
        <f t="shared" si="70"/>
        <v>0</v>
      </c>
      <c r="AD43" s="224">
        <f t="shared" si="70"/>
        <v>0</v>
      </c>
      <c r="AE43" s="224">
        <f t="shared" si="70"/>
        <v>0</v>
      </c>
      <c r="AF43" s="224">
        <v>51299</v>
      </c>
      <c r="AG43" s="224">
        <f t="shared" si="70"/>
        <v>0</v>
      </c>
      <c r="AH43" s="224">
        <f t="shared" si="70"/>
        <v>0</v>
      </c>
      <c r="AI43" s="224">
        <f t="shared" ref="AI43:AN43" si="71">AI41+AI42</f>
        <v>51299</v>
      </c>
      <c r="AJ43" s="224">
        <f t="shared" si="71"/>
        <v>0</v>
      </c>
      <c r="AK43" s="224">
        <f t="shared" si="71"/>
        <v>0</v>
      </c>
      <c r="AL43" s="224">
        <f t="shared" si="71"/>
        <v>0</v>
      </c>
      <c r="AM43" s="224">
        <f t="shared" si="71"/>
        <v>0</v>
      </c>
      <c r="AN43" s="224">
        <f t="shared" si="71"/>
        <v>0</v>
      </c>
      <c r="AO43" s="970"/>
      <c r="AP43" s="224">
        <f t="shared" ref="AP43:BD43" si="72">AP41+AP42</f>
        <v>0</v>
      </c>
      <c r="AQ43" s="224">
        <f t="shared" si="72"/>
        <v>0</v>
      </c>
      <c r="AR43" s="224">
        <f t="shared" si="72"/>
        <v>0</v>
      </c>
      <c r="AS43" s="224">
        <f t="shared" si="72"/>
        <v>0</v>
      </c>
      <c r="AT43" s="224">
        <f t="shared" si="72"/>
        <v>0</v>
      </c>
      <c r="AU43" s="224">
        <f t="shared" si="72"/>
        <v>0</v>
      </c>
      <c r="AV43" s="224">
        <f t="shared" si="72"/>
        <v>0</v>
      </c>
      <c r="AW43" s="224">
        <f t="shared" si="72"/>
        <v>0</v>
      </c>
      <c r="AX43" s="224">
        <f t="shared" si="72"/>
        <v>0</v>
      </c>
      <c r="AY43" s="224">
        <f t="shared" si="72"/>
        <v>0</v>
      </c>
      <c r="AZ43" s="224">
        <f t="shared" si="72"/>
        <v>0</v>
      </c>
      <c r="BA43" s="224">
        <f t="shared" si="72"/>
        <v>0</v>
      </c>
      <c r="BB43" s="224">
        <f t="shared" si="72"/>
        <v>0</v>
      </c>
      <c r="BC43" s="224">
        <v>15336</v>
      </c>
      <c r="BD43" s="224">
        <f t="shared" si="72"/>
        <v>0</v>
      </c>
      <c r="BE43" s="224">
        <f t="shared" si="17"/>
        <v>446538</v>
      </c>
      <c r="BF43" s="70">
        <f>ROUND(BE43/C43,3)</f>
        <v>524.10599999999999</v>
      </c>
      <c r="BG43" s="326">
        <f t="shared" ref="BG43:BM43" si="73">BG41+BG42</f>
        <v>289001</v>
      </c>
      <c r="BH43" s="601">
        <f t="shared" si="73"/>
        <v>90902</v>
      </c>
      <c r="BI43" s="326">
        <f t="shared" si="73"/>
        <v>0</v>
      </c>
      <c r="BJ43" s="326">
        <f t="shared" si="73"/>
        <v>15336</v>
      </c>
      <c r="BK43" s="368">
        <f t="shared" si="18"/>
        <v>0</v>
      </c>
      <c r="BL43" s="326">
        <f t="shared" si="73"/>
        <v>51299</v>
      </c>
      <c r="BM43" s="326">
        <f t="shared" si="73"/>
        <v>446538</v>
      </c>
      <c r="BN43" s="965"/>
      <c r="BO43" s="333"/>
      <c r="BP43" s="333"/>
      <c r="BQ43" s="333"/>
      <c r="BR43" s="333"/>
    </row>
    <row r="44" spans="1:70" ht="69.75" customHeight="1">
      <c r="A44" s="83" t="s">
        <v>147</v>
      </c>
      <c r="B44" s="9" t="s">
        <v>89</v>
      </c>
      <c r="C44" s="313">
        <v>25</v>
      </c>
      <c r="D44" s="851" t="s">
        <v>79</v>
      </c>
      <c r="E44" s="8">
        <f t="shared" ref="E44:E77" si="74">ROUND((T44+U44)/C44,2)</f>
        <v>329.4</v>
      </c>
      <c r="F44" s="8">
        <f t="shared" si="61"/>
        <v>0</v>
      </c>
      <c r="G44" s="8">
        <f t="shared" si="23"/>
        <v>329.4</v>
      </c>
      <c r="H44" s="8">
        <f t="shared" ref="H44:H77" si="75">ROUND(AI44/C44,2)</f>
        <v>60.64</v>
      </c>
      <c r="I44" s="8">
        <f t="shared" si="62"/>
        <v>0</v>
      </c>
      <c r="J44" s="8">
        <f t="shared" si="63"/>
        <v>0</v>
      </c>
      <c r="K44" s="8">
        <f t="shared" si="64"/>
        <v>0</v>
      </c>
      <c r="L44" s="11">
        <f t="shared" si="65"/>
        <v>0</v>
      </c>
      <c r="M44" s="11">
        <f t="shared" si="66"/>
        <v>18</v>
      </c>
      <c r="N44" s="11">
        <f t="shared" si="67"/>
        <v>0</v>
      </c>
      <c r="O44" s="8">
        <f t="shared" si="24"/>
        <v>408.03999999999996</v>
      </c>
      <c r="P44" s="8">
        <f t="shared" si="68"/>
        <v>0</v>
      </c>
      <c r="Q44" s="8">
        <f t="shared" si="69"/>
        <v>0</v>
      </c>
      <c r="R44" s="40">
        <f t="shared" si="22"/>
        <v>408.03999999999996</v>
      </c>
      <c r="S44" s="851" t="s">
        <v>79</v>
      </c>
      <c r="T44" s="15">
        <v>6325</v>
      </c>
      <c r="U44" s="15">
        <f>ROUND(T44*0.302,0)</f>
        <v>1910</v>
      </c>
      <c r="V44" s="15"/>
      <c r="W44" s="298"/>
      <c r="X44" s="15"/>
      <c r="Y44" s="15"/>
      <c r="Z44" s="15"/>
      <c r="AA44" s="15"/>
      <c r="AB44" s="15"/>
      <c r="AC44" s="15"/>
      <c r="AD44" s="299"/>
      <c r="AE44" s="15"/>
      <c r="AF44" s="15">
        <v>1516</v>
      </c>
      <c r="AG44" s="15"/>
      <c r="AH44" s="15"/>
      <c r="AI44" s="15">
        <f>AA44+AB44+AC44+AD44+AE44+AF44+AH44+AG44</f>
        <v>1516</v>
      </c>
      <c r="AJ44" s="15"/>
      <c r="AK44" s="15"/>
      <c r="AL44" s="15"/>
      <c r="AM44" s="15"/>
      <c r="AN44" s="15"/>
      <c r="AO44" s="854" t="s">
        <v>79</v>
      </c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>
        <v>450</v>
      </c>
      <c r="BD44" s="15"/>
      <c r="BE44" s="15">
        <f t="shared" si="17"/>
        <v>10201</v>
      </c>
      <c r="BF44" s="70">
        <f t="shared" ref="BF44:BF77" si="76">ROUND(BE44/C44,2)</f>
        <v>408.04</v>
      </c>
      <c r="BG44" s="222">
        <f>T44+V44</f>
        <v>6325</v>
      </c>
      <c r="BH44" s="222">
        <f>U44+W44</f>
        <v>1910</v>
      </c>
      <c r="BI44" s="222">
        <f>X44+Y44+Z44</f>
        <v>0</v>
      </c>
      <c r="BJ44" s="222">
        <f>BC44</f>
        <v>450</v>
      </c>
      <c r="BK44" s="222">
        <f>BB44</f>
        <v>0</v>
      </c>
      <c r="BL44" s="222">
        <f>AA44+AB44+AC44+AD44+AE44+AF44+AG44+AH44+AJ44+AK44+AL44+AM44+AN44+AP44+AQ44+AR44+AS44+AT44+AU44+AV44+AW44+AX44+AY44+AZ44+BA44+BD44</f>
        <v>1516</v>
      </c>
      <c r="BM44" s="222">
        <f>BG44+BH44+BI44+BJ44+BL44</f>
        <v>10201</v>
      </c>
      <c r="BN44" s="965" t="s">
        <v>79</v>
      </c>
    </row>
    <row r="45" spans="1:70" ht="54.75" hidden="1" customHeight="1">
      <c r="A45" s="83" t="s">
        <v>148</v>
      </c>
      <c r="B45" s="435" t="s">
        <v>101</v>
      </c>
      <c r="C45" s="313">
        <v>0</v>
      </c>
      <c r="D45" s="957"/>
      <c r="E45" s="8" t="e">
        <f t="shared" si="74"/>
        <v>#DIV/0!</v>
      </c>
      <c r="F45" s="8" t="e">
        <f t="shared" si="61"/>
        <v>#DIV/0!</v>
      </c>
      <c r="G45" s="8" t="e">
        <f t="shared" si="23"/>
        <v>#DIV/0!</v>
      </c>
      <c r="H45" s="8" t="e">
        <f t="shared" si="75"/>
        <v>#DIV/0!</v>
      </c>
      <c r="I45" s="8" t="e">
        <f t="shared" si="62"/>
        <v>#DIV/0!</v>
      </c>
      <c r="J45" s="8" t="e">
        <f t="shared" si="63"/>
        <v>#DIV/0!</v>
      </c>
      <c r="K45" s="8" t="e">
        <f t="shared" si="64"/>
        <v>#DIV/0!</v>
      </c>
      <c r="L45" s="11" t="e">
        <f t="shared" si="65"/>
        <v>#DIV/0!</v>
      </c>
      <c r="M45" s="11" t="e">
        <f t="shared" si="66"/>
        <v>#DIV/0!</v>
      </c>
      <c r="N45" s="11" t="e">
        <f t="shared" si="67"/>
        <v>#DIV/0!</v>
      </c>
      <c r="O45" s="8" t="e">
        <f t="shared" si="24"/>
        <v>#DIV/0!</v>
      </c>
      <c r="P45" s="8" t="e">
        <f t="shared" si="68"/>
        <v>#DIV/0!</v>
      </c>
      <c r="Q45" s="8" t="e">
        <f t="shared" si="69"/>
        <v>#DIV/0!</v>
      </c>
      <c r="R45" s="40" t="e">
        <f t="shared" si="22"/>
        <v>#DIV/0!</v>
      </c>
      <c r="S45" s="957"/>
      <c r="T45" s="15"/>
      <c r="U45" s="15">
        <v>0</v>
      </c>
      <c r="V45" s="15"/>
      <c r="W45" s="298"/>
      <c r="X45" s="15"/>
      <c r="Y45" s="15"/>
      <c r="Z45" s="15"/>
      <c r="AA45" s="15"/>
      <c r="AB45" s="15"/>
      <c r="AC45" s="15"/>
      <c r="AD45" s="299"/>
      <c r="AE45" s="15"/>
      <c r="AF45" s="15">
        <v>0</v>
      </c>
      <c r="AG45" s="15"/>
      <c r="AH45" s="15"/>
      <c r="AI45" s="15">
        <f>AA45+AB45+AC45+AD45+AE45+AF45+AH45+AG45</f>
        <v>0</v>
      </c>
      <c r="AJ45" s="15"/>
      <c r="AK45" s="15"/>
      <c r="AL45" s="15"/>
      <c r="AM45" s="15"/>
      <c r="AN45" s="15"/>
      <c r="AO45" s="969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>
        <f t="shared" si="17"/>
        <v>0</v>
      </c>
      <c r="BF45" s="70" t="e">
        <f t="shared" si="76"/>
        <v>#DIV/0!</v>
      </c>
      <c r="BG45" s="222">
        <f>T45+V45</f>
        <v>0</v>
      </c>
      <c r="BH45" s="222">
        <f>U45+W45</f>
        <v>0</v>
      </c>
      <c r="BI45" s="222">
        <f>X45+Y45+Z45</f>
        <v>0</v>
      </c>
      <c r="BJ45" s="222">
        <f>BC45</f>
        <v>0</v>
      </c>
      <c r="BK45" s="222"/>
      <c r="BL45" s="222">
        <f>AA45+AB45+AC45+AD45+AE45+AF45+AG45+AH45+AJ45+AK45+AL45+AM45+AN45+AP45+AQ45+AR45+AS45+AT45+AU45+AV45+AW45+AX45+AY45+AZ45+BA45+BD45</f>
        <v>0</v>
      </c>
      <c r="BM45" s="222">
        <f>BG45+BH45+BI45+BJ45+BL45</f>
        <v>0</v>
      </c>
      <c r="BN45" s="965"/>
    </row>
    <row r="46" spans="1:70" s="98" customFormat="1" ht="26.25" customHeight="1">
      <c r="A46" s="13" t="s">
        <v>42</v>
      </c>
      <c r="B46" s="402"/>
      <c r="C46" s="315">
        <f>C44+C45</f>
        <v>25</v>
      </c>
      <c r="D46" s="958"/>
      <c r="E46" s="22">
        <f t="shared" si="74"/>
        <v>329.4</v>
      </c>
      <c r="F46" s="22">
        <f t="shared" si="61"/>
        <v>0</v>
      </c>
      <c r="G46" s="22">
        <f t="shared" si="23"/>
        <v>329.4</v>
      </c>
      <c r="H46" s="22">
        <f t="shared" si="75"/>
        <v>60.64</v>
      </c>
      <c r="I46" s="22">
        <f t="shared" si="62"/>
        <v>0</v>
      </c>
      <c r="J46" s="22">
        <f t="shared" si="63"/>
        <v>0</v>
      </c>
      <c r="K46" s="22">
        <f t="shared" si="64"/>
        <v>0</v>
      </c>
      <c r="L46" s="23">
        <f t="shared" si="65"/>
        <v>0</v>
      </c>
      <c r="M46" s="23">
        <f t="shared" si="66"/>
        <v>18</v>
      </c>
      <c r="N46" s="23">
        <f t="shared" si="67"/>
        <v>0</v>
      </c>
      <c r="O46" s="22">
        <f t="shared" si="24"/>
        <v>408.03999999999996</v>
      </c>
      <c r="P46" s="22">
        <f t="shared" si="68"/>
        <v>0</v>
      </c>
      <c r="Q46" s="22">
        <f t="shared" si="69"/>
        <v>0</v>
      </c>
      <c r="R46" s="39">
        <f t="shared" si="22"/>
        <v>408.03999999999996</v>
      </c>
      <c r="S46" s="958"/>
      <c r="T46" s="224">
        <f>T44+T45</f>
        <v>6325</v>
      </c>
      <c r="U46" s="224">
        <f t="shared" ref="U46:AH46" si="77">U44+U45</f>
        <v>1910</v>
      </c>
      <c r="V46" s="224">
        <f t="shared" si="77"/>
        <v>0</v>
      </c>
      <c r="W46" s="224">
        <f t="shared" si="77"/>
        <v>0</v>
      </c>
      <c r="X46" s="224">
        <f t="shared" si="77"/>
        <v>0</v>
      </c>
      <c r="Y46" s="224">
        <f t="shared" si="77"/>
        <v>0</v>
      </c>
      <c r="Z46" s="224">
        <f t="shared" si="77"/>
        <v>0</v>
      </c>
      <c r="AA46" s="224">
        <f t="shared" si="77"/>
        <v>0</v>
      </c>
      <c r="AB46" s="224">
        <f t="shared" si="77"/>
        <v>0</v>
      </c>
      <c r="AC46" s="224">
        <f t="shared" si="77"/>
        <v>0</v>
      </c>
      <c r="AD46" s="224">
        <f t="shared" si="77"/>
        <v>0</v>
      </c>
      <c r="AE46" s="224">
        <f t="shared" si="77"/>
        <v>0</v>
      </c>
      <c r="AF46" s="224">
        <v>1516</v>
      </c>
      <c r="AG46" s="224">
        <f t="shared" si="77"/>
        <v>0</v>
      </c>
      <c r="AH46" s="224">
        <f t="shared" si="77"/>
        <v>0</v>
      </c>
      <c r="AI46" s="224">
        <f t="shared" ref="AI46:AN46" si="78">AI44+AI45</f>
        <v>1516</v>
      </c>
      <c r="AJ46" s="224">
        <f t="shared" si="78"/>
        <v>0</v>
      </c>
      <c r="AK46" s="224">
        <f t="shared" si="78"/>
        <v>0</v>
      </c>
      <c r="AL46" s="224">
        <f t="shared" si="78"/>
        <v>0</v>
      </c>
      <c r="AM46" s="224">
        <f t="shared" si="78"/>
        <v>0</v>
      </c>
      <c r="AN46" s="224">
        <f t="shared" si="78"/>
        <v>0</v>
      </c>
      <c r="AO46" s="970"/>
      <c r="AP46" s="224">
        <f t="shared" ref="AP46:BD46" si="79">AP44+AP45</f>
        <v>0</v>
      </c>
      <c r="AQ46" s="224">
        <f t="shared" si="79"/>
        <v>0</v>
      </c>
      <c r="AR46" s="224">
        <f t="shared" si="79"/>
        <v>0</v>
      </c>
      <c r="AS46" s="224">
        <f t="shared" si="79"/>
        <v>0</v>
      </c>
      <c r="AT46" s="224">
        <f t="shared" si="79"/>
        <v>0</v>
      </c>
      <c r="AU46" s="224">
        <f t="shared" si="79"/>
        <v>0</v>
      </c>
      <c r="AV46" s="224">
        <f t="shared" si="79"/>
        <v>0</v>
      </c>
      <c r="AW46" s="224">
        <f t="shared" si="79"/>
        <v>0</v>
      </c>
      <c r="AX46" s="224">
        <f t="shared" si="79"/>
        <v>0</v>
      </c>
      <c r="AY46" s="224">
        <f t="shared" si="79"/>
        <v>0</v>
      </c>
      <c r="AZ46" s="224">
        <f t="shared" si="79"/>
        <v>0</v>
      </c>
      <c r="BA46" s="224">
        <f t="shared" si="79"/>
        <v>0</v>
      </c>
      <c r="BB46" s="224">
        <f t="shared" si="79"/>
        <v>0</v>
      </c>
      <c r="BC46" s="224">
        <f>BC44</f>
        <v>450</v>
      </c>
      <c r="BD46" s="224">
        <f t="shared" si="79"/>
        <v>0</v>
      </c>
      <c r="BE46" s="224">
        <f t="shared" ref="BE46:BE80" si="80">T46+U46+V46+W46+X46+Y46+Z46+AI46+AJ46+AK46+AL46+AM46+AP46+AQ46+AR46+AS46+AT46+AU46+AV46+AW46+AX46+AY46+AZ46+BA46+BB46+BC46+BD46</f>
        <v>10201</v>
      </c>
      <c r="BF46" s="70">
        <f t="shared" si="76"/>
        <v>408.04</v>
      </c>
      <c r="BG46" s="326">
        <f t="shared" ref="BG46:BM46" si="81">BG44+BG45</f>
        <v>6325</v>
      </c>
      <c r="BH46" s="601">
        <f t="shared" si="81"/>
        <v>1910</v>
      </c>
      <c r="BI46" s="326">
        <f t="shared" si="81"/>
        <v>0</v>
      </c>
      <c r="BJ46" s="326">
        <f t="shared" si="81"/>
        <v>450</v>
      </c>
      <c r="BK46" s="326">
        <f t="shared" si="81"/>
        <v>0</v>
      </c>
      <c r="BL46" s="326">
        <f t="shared" si="81"/>
        <v>1516</v>
      </c>
      <c r="BM46" s="326">
        <f t="shared" si="81"/>
        <v>10201</v>
      </c>
      <c r="BN46" s="965"/>
      <c r="BO46" s="333"/>
      <c r="BP46" s="333"/>
      <c r="BQ46" s="333"/>
      <c r="BR46" s="333"/>
    </row>
    <row r="47" spans="1:70" ht="57" customHeight="1">
      <c r="A47" s="83" t="s">
        <v>147</v>
      </c>
      <c r="B47" s="9" t="s">
        <v>89</v>
      </c>
      <c r="C47" s="313">
        <v>124</v>
      </c>
      <c r="D47" s="851" t="s">
        <v>80</v>
      </c>
      <c r="E47" s="8">
        <f t="shared" si="74"/>
        <v>325.05</v>
      </c>
      <c r="F47" s="8">
        <f t="shared" si="61"/>
        <v>0</v>
      </c>
      <c r="G47" s="8">
        <f t="shared" si="23"/>
        <v>325.05</v>
      </c>
      <c r="H47" s="8">
        <f t="shared" si="75"/>
        <v>60.3</v>
      </c>
      <c r="I47" s="8">
        <f t="shared" si="62"/>
        <v>0</v>
      </c>
      <c r="J47" s="8">
        <f t="shared" si="63"/>
        <v>0</v>
      </c>
      <c r="K47" s="8">
        <f t="shared" si="64"/>
        <v>0</v>
      </c>
      <c r="L47" s="11">
        <f t="shared" si="65"/>
        <v>0</v>
      </c>
      <c r="M47" s="11">
        <f t="shared" si="66"/>
        <v>18</v>
      </c>
      <c r="N47" s="11">
        <f t="shared" si="67"/>
        <v>0</v>
      </c>
      <c r="O47" s="8">
        <f t="shared" si="24"/>
        <v>403.35</v>
      </c>
      <c r="P47" s="8">
        <f t="shared" si="68"/>
        <v>0</v>
      </c>
      <c r="Q47" s="8">
        <f t="shared" si="69"/>
        <v>0</v>
      </c>
      <c r="R47" s="40">
        <f t="shared" si="22"/>
        <v>403.35</v>
      </c>
      <c r="S47" s="851" t="s">
        <v>80</v>
      </c>
      <c r="T47" s="15">
        <v>30957</v>
      </c>
      <c r="U47" s="15">
        <f>ROUND(T47*0.302,0)</f>
        <v>9349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>
        <f>ROUND(AF49/C49*C47,0)</f>
        <v>7477</v>
      </c>
      <c r="AG47" s="15"/>
      <c r="AH47" s="15"/>
      <c r="AI47" s="15">
        <f>AF47</f>
        <v>7477</v>
      </c>
      <c r="AJ47" s="15"/>
      <c r="AK47" s="15"/>
      <c r="AL47" s="15"/>
      <c r="AM47" s="15"/>
      <c r="AN47" s="15"/>
      <c r="AO47" s="854" t="s">
        <v>80</v>
      </c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>
        <f>ROUND(BC49/C49*C47,0)</f>
        <v>2232</v>
      </c>
      <c r="BD47" s="15"/>
      <c r="BE47" s="15">
        <f t="shared" si="80"/>
        <v>50015</v>
      </c>
      <c r="BF47" s="70">
        <f t="shared" si="76"/>
        <v>403.35</v>
      </c>
      <c r="BG47" s="222">
        <f>T47+V47</f>
        <v>30957</v>
      </c>
      <c r="BH47" s="222">
        <f>U47+W47</f>
        <v>9349</v>
      </c>
      <c r="BI47" s="222">
        <f>X47+Y47+Z47</f>
        <v>0</v>
      </c>
      <c r="BJ47" s="222">
        <f>BC47</f>
        <v>2232</v>
      </c>
      <c r="BK47" s="222">
        <f>BB47</f>
        <v>0</v>
      </c>
      <c r="BL47" s="222">
        <f>AA47+AB47+AC47+AD47+AE47+AF47+AG47+AH47+AJ47+AK47+AL47+AM47+AN47+AP47+AQ47+AR47+AS47+AT47+AU47+AV47+AW47+AX47+AY47+AZ47+BA47+BD47</f>
        <v>7477</v>
      </c>
      <c r="BM47" s="222">
        <f>BG47+BH47+BI47+BJ47+BL47</f>
        <v>50015</v>
      </c>
      <c r="BN47" s="965" t="s">
        <v>80</v>
      </c>
    </row>
    <row r="48" spans="1:70" ht="58.5" customHeight="1">
      <c r="A48" s="362" t="s">
        <v>359</v>
      </c>
      <c r="B48" s="435" t="s">
        <v>101</v>
      </c>
      <c r="C48" s="313">
        <v>5</v>
      </c>
      <c r="D48" s="957"/>
      <c r="E48" s="8">
        <f>ROUND((T48+U48)/C48,3)</f>
        <v>346.8</v>
      </c>
      <c r="F48" s="8">
        <f t="shared" si="61"/>
        <v>0</v>
      </c>
      <c r="G48" s="8">
        <f t="shared" si="23"/>
        <v>346.8</v>
      </c>
      <c r="H48" s="8">
        <f>ROUND(AI48/C48,3)</f>
        <v>60.2</v>
      </c>
      <c r="I48" s="8">
        <f t="shared" si="62"/>
        <v>0</v>
      </c>
      <c r="J48" s="8">
        <f t="shared" si="63"/>
        <v>0</v>
      </c>
      <c r="K48" s="8">
        <f t="shared" si="64"/>
        <v>0</v>
      </c>
      <c r="L48" s="11">
        <f t="shared" si="65"/>
        <v>0</v>
      </c>
      <c r="M48" s="11">
        <f>ROUND(BC48/C48,3)</f>
        <v>18</v>
      </c>
      <c r="N48" s="11">
        <f t="shared" si="67"/>
        <v>0</v>
      </c>
      <c r="O48" s="8">
        <f t="shared" si="24"/>
        <v>425</v>
      </c>
      <c r="P48" s="8">
        <f t="shared" si="68"/>
        <v>0</v>
      </c>
      <c r="Q48" s="8">
        <f t="shared" si="69"/>
        <v>0</v>
      </c>
      <c r="R48" s="40">
        <f t="shared" si="22"/>
        <v>425</v>
      </c>
      <c r="S48" s="957"/>
      <c r="T48" s="15">
        <v>1332</v>
      </c>
      <c r="U48" s="15">
        <f>ROUND(T48*0.302,0)</f>
        <v>402</v>
      </c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>
        <f>AF49-AF47</f>
        <v>301</v>
      </c>
      <c r="AG48" s="15"/>
      <c r="AH48" s="15"/>
      <c r="AI48" s="15">
        <f>AF48</f>
        <v>301</v>
      </c>
      <c r="AJ48" s="15"/>
      <c r="AK48" s="15"/>
      <c r="AL48" s="15"/>
      <c r="AM48" s="15"/>
      <c r="AN48" s="15"/>
      <c r="AO48" s="969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>
        <f>BC49-BC47</f>
        <v>90</v>
      </c>
      <c r="BD48" s="15"/>
      <c r="BE48" s="15">
        <f t="shared" si="80"/>
        <v>2125</v>
      </c>
      <c r="BF48" s="70">
        <f t="shared" si="76"/>
        <v>425</v>
      </c>
      <c r="BG48" s="222">
        <f>T48+V48</f>
        <v>1332</v>
      </c>
      <c r="BH48" s="222">
        <f>U48+W48</f>
        <v>402</v>
      </c>
      <c r="BI48" s="222">
        <f>X48+Y48+Z48</f>
        <v>0</v>
      </c>
      <c r="BJ48" s="222">
        <f>BC48</f>
        <v>90</v>
      </c>
      <c r="BK48" s="222">
        <f t="shared" ref="BK48:BK74" si="82">BB48</f>
        <v>0</v>
      </c>
      <c r="BL48" s="222">
        <f>AA48+AB48+AC48+AD48+AE48+AF48+AG48+AH48+AJ48+AK48+AL48+AM48+AN48+AP48+AQ48+AR48+AS48+AT48+AU48+AV48+AW48+AX48+AY48+AZ48+BA48+BD48</f>
        <v>301</v>
      </c>
      <c r="BM48" s="222">
        <f>BG48+BH48+BI48+BJ48+BL48</f>
        <v>2125</v>
      </c>
      <c r="BN48" s="965"/>
    </row>
    <row r="49" spans="1:70" s="98" customFormat="1" ht="21" customHeight="1">
      <c r="A49" s="13" t="s">
        <v>42</v>
      </c>
      <c r="B49" s="402"/>
      <c r="C49" s="315">
        <f>C47+C48</f>
        <v>129</v>
      </c>
      <c r="D49" s="958"/>
      <c r="E49" s="22">
        <f>ROUND((T49+U49)/C49,3)</f>
        <v>325.89100000000002</v>
      </c>
      <c r="F49" s="22">
        <f t="shared" si="61"/>
        <v>0</v>
      </c>
      <c r="G49" s="22">
        <f t="shared" si="23"/>
        <v>325.89100000000002</v>
      </c>
      <c r="H49" s="22">
        <f>ROUND(AI49/C49,3)</f>
        <v>60.295000000000002</v>
      </c>
      <c r="I49" s="22">
        <f t="shared" si="62"/>
        <v>0</v>
      </c>
      <c r="J49" s="22">
        <f t="shared" si="63"/>
        <v>0</v>
      </c>
      <c r="K49" s="22">
        <f t="shared" si="64"/>
        <v>0</v>
      </c>
      <c r="L49" s="23">
        <f t="shared" si="65"/>
        <v>0</v>
      </c>
      <c r="M49" s="23">
        <f>ROUND(BC49/C49,3)</f>
        <v>18</v>
      </c>
      <c r="N49" s="23">
        <f t="shared" si="67"/>
        <v>0</v>
      </c>
      <c r="O49" s="22">
        <f t="shared" si="24"/>
        <v>404.18600000000004</v>
      </c>
      <c r="P49" s="22">
        <f t="shared" si="68"/>
        <v>0</v>
      </c>
      <c r="Q49" s="22">
        <f t="shared" si="69"/>
        <v>0</v>
      </c>
      <c r="R49" s="39">
        <f t="shared" si="22"/>
        <v>404.18600000000004</v>
      </c>
      <c r="S49" s="958"/>
      <c r="T49" s="224">
        <f>T47+T48</f>
        <v>32289</v>
      </c>
      <c r="U49" s="224">
        <f t="shared" ref="U49:AH49" si="83">U47+U48</f>
        <v>9751</v>
      </c>
      <c r="V49" s="224">
        <f t="shared" si="83"/>
        <v>0</v>
      </c>
      <c r="W49" s="224">
        <f t="shared" si="83"/>
        <v>0</v>
      </c>
      <c r="X49" s="224">
        <f t="shared" si="83"/>
        <v>0</v>
      </c>
      <c r="Y49" s="224">
        <f t="shared" si="83"/>
        <v>0</v>
      </c>
      <c r="Z49" s="224">
        <f t="shared" si="83"/>
        <v>0</v>
      </c>
      <c r="AA49" s="224">
        <f t="shared" si="83"/>
        <v>0</v>
      </c>
      <c r="AB49" s="224">
        <f t="shared" si="83"/>
        <v>0</v>
      </c>
      <c r="AC49" s="224">
        <f t="shared" si="83"/>
        <v>0</v>
      </c>
      <c r="AD49" s="224">
        <f t="shared" si="83"/>
        <v>0</v>
      </c>
      <c r="AE49" s="224">
        <f t="shared" si="83"/>
        <v>0</v>
      </c>
      <c r="AF49" s="224">
        <v>7778</v>
      </c>
      <c r="AG49" s="224">
        <f t="shared" si="83"/>
        <v>0</v>
      </c>
      <c r="AH49" s="224">
        <f t="shared" si="83"/>
        <v>0</v>
      </c>
      <c r="AI49" s="224">
        <f t="shared" ref="AI49:AN49" si="84">AI47+AI48</f>
        <v>7778</v>
      </c>
      <c r="AJ49" s="224">
        <f t="shared" si="84"/>
        <v>0</v>
      </c>
      <c r="AK49" s="224">
        <f t="shared" si="84"/>
        <v>0</v>
      </c>
      <c r="AL49" s="224">
        <f t="shared" si="84"/>
        <v>0</v>
      </c>
      <c r="AM49" s="224">
        <f t="shared" si="84"/>
        <v>0</v>
      </c>
      <c r="AN49" s="224">
        <f t="shared" si="84"/>
        <v>0</v>
      </c>
      <c r="AO49" s="970"/>
      <c r="AP49" s="224">
        <f t="shared" ref="AP49:BD49" si="85">AP47+AP48</f>
        <v>0</v>
      </c>
      <c r="AQ49" s="224">
        <f t="shared" si="85"/>
        <v>0</v>
      </c>
      <c r="AR49" s="224">
        <f t="shared" si="85"/>
        <v>0</v>
      </c>
      <c r="AS49" s="224">
        <f t="shared" si="85"/>
        <v>0</v>
      </c>
      <c r="AT49" s="224">
        <f t="shared" si="85"/>
        <v>0</v>
      </c>
      <c r="AU49" s="224">
        <f t="shared" si="85"/>
        <v>0</v>
      </c>
      <c r="AV49" s="224">
        <f t="shared" si="85"/>
        <v>0</v>
      </c>
      <c r="AW49" s="224">
        <f t="shared" si="85"/>
        <v>0</v>
      </c>
      <c r="AX49" s="224">
        <f t="shared" si="85"/>
        <v>0</v>
      </c>
      <c r="AY49" s="224">
        <f t="shared" si="85"/>
        <v>0</v>
      </c>
      <c r="AZ49" s="224">
        <f t="shared" si="85"/>
        <v>0</v>
      </c>
      <c r="BA49" s="224">
        <f t="shared" si="85"/>
        <v>0</v>
      </c>
      <c r="BB49" s="224">
        <f t="shared" si="85"/>
        <v>0</v>
      </c>
      <c r="BC49" s="224">
        <v>2322</v>
      </c>
      <c r="BD49" s="224">
        <f t="shared" si="85"/>
        <v>0</v>
      </c>
      <c r="BE49" s="224">
        <f t="shared" si="80"/>
        <v>52140</v>
      </c>
      <c r="BF49" s="70">
        <f t="shared" si="76"/>
        <v>404.19</v>
      </c>
      <c r="BG49" s="326">
        <f t="shared" ref="BG49:BM49" si="86">BG47+BG48</f>
        <v>32289</v>
      </c>
      <c r="BH49" s="326">
        <f t="shared" si="86"/>
        <v>9751</v>
      </c>
      <c r="BI49" s="326">
        <f t="shared" si="86"/>
        <v>0</v>
      </c>
      <c r="BJ49" s="326">
        <f t="shared" si="86"/>
        <v>2322</v>
      </c>
      <c r="BK49" s="368">
        <f t="shared" si="82"/>
        <v>0</v>
      </c>
      <c r="BL49" s="326">
        <f t="shared" si="86"/>
        <v>7778</v>
      </c>
      <c r="BM49" s="326">
        <f t="shared" si="86"/>
        <v>52140</v>
      </c>
      <c r="BN49" s="965"/>
      <c r="BO49" s="333"/>
      <c r="BP49" s="333"/>
      <c r="BQ49" s="333"/>
      <c r="BR49" s="333"/>
    </row>
    <row r="50" spans="1:70" ht="60" customHeight="1">
      <c r="A50" s="83" t="s">
        <v>147</v>
      </c>
      <c r="B50" s="9" t="s">
        <v>89</v>
      </c>
      <c r="C50" s="313">
        <v>50</v>
      </c>
      <c r="D50" s="851" t="s">
        <v>81</v>
      </c>
      <c r="E50" s="8">
        <f>ROUND((T50+U50)/C50,3)</f>
        <v>623.96</v>
      </c>
      <c r="F50" s="8">
        <f t="shared" si="61"/>
        <v>0</v>
      </c>
      <c r="G50" s="8">
        <f t="shared" si="23"/>
        <v>623.96</v>
      </c>
      <c r="H50" s="8">
        <f>ROUND(AI50/C50,3)</f>
        <v>60.94</v>
      </c>
      <c r="I50" s="8">
        <f t="shared" si="62"/>
        <v>0</v>
      </c>
      <c r="J50" s="8">
        <f t="shared" si="63"/>
        <v>0</v>
      </c>
      <c r="K50" s="8">
        <f t="shared" si="64"/>
        <v>0</v>
      </c>
      <c r="L50" s="11">
        <f t="shared" si="65"/>
        <v>0</v>
      </c>
      <c r="M50" s="11">
        <f>ROUND(BC50/C50,3)</f>
        <v>18</v>
      </c>
      <c r="N50" s="11">
        <f t="shared" si="67"/>
        <v>0</v>
      </c>
      <c r="O50" s="8">
        <f t="shared" si="24"/>
        <v>702.90000000000009</v>
      </c>
      <c r="P50" s="8">
        <f t="shared" si="68"/>
        <v>0</v>
      </c>
      <c r="Q50" s="8">
        <f t="shared" si="69"/>
        <v>0</v>
      </c>
      <c r="R50" s="40">
        <f t="shared" si="22"/>
        <v>702.90000000000009</v>
      </c>
      <c r="S50" s="851" t="s">
        <v>81</v>
      </c>
      <c r="T50" s="15">
        <v>23563</v>
      </c>
      <c r="U50" s="15">
        <v>7635</v>
      </c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>
        <f>ROUND(AF52/C52*C50,0)</f>
        <v>3047</v>
      </c>
      <c r="AG50" s="15"/>
      <c r="AH50" s="15"/>
      <c r="AI50" s="15">
        <f>AA50+AB50+AC50+AD50+AE50+AF50+AH50+AG50</f>
        <v>3047</v>
      </c>
      <c r="AJ50" s="15"/>
      <c r="AK50" s="15"/>
      <c r="AL50" s="15"/>
      <c r="AM50" s="15"/>
      <c r="AN50" s="15"/>
      <c r="AO50" s="854" t="s">
        <v>81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>
        <f>ROUND(BC52/C52*C50,0)</f>
        <v>900</v>
      </c>
      <c r="BD50" s="15"/>
      <c r="BE50" s="15">
        <f t="shared" si="80"/>
        <v>35145</v>
      </c>
      <c r="BF50" s="70">
        <f t="shared" si="76"/>
        <v>702.9</v>
      </c>
      <c r="BG50" s="222">
        <f>T50+V50</f>
        <v>23563</v>
      </c>
      <c r="BH50" s="222">
        <f>U50+W50</f>
        <v>7635</v>
      </c>
      <c r="BI50" s="222">
        <f>X50+Y50+Z50</f>
        <v>0</v>
      </c>
      <c r="BJ50" s="222">
        <f>BC50</f>
        <v>900</v>
      </c>
      <c r="BK50" s="222">
        <f>BB50</f>
        <v>0</v>
      </c>
      <c r="BL50" s="222">
        <f>AA50+AB50+AC50+AD50+AE50+AF50+AG50+AH50+AJ50+AK50+AL50+AM50+AN50+AP50+AQ50+AR50+AS50+AT50+AU50+AV50+AW50+AX50+AY50+AZ50+BA50+BD50</f>
        <v>3047</v>
      </c>
      <c r="BM50" s="222">
        <f>BG50+BH50+BI50+BJ50+BL50</f>
        <v>35145</v>
      </c>
      <c r="BN50" s="965" t="s">
        <v>81</v>
      </c>
    </row>
    <row r="51" spans="1:70" ht="60" customHeight="1">
      <c r="A51" s="362" t="s">
        <v>359</v>
      </c>
      <c r="B51" s="435" t="s">
        <v>101</v>
      </c>
      <c r="C51" s="313">
        <v>10</v>
      </c>
      <c r="D51" s="957"/>
      <c r="E51" s="8">
        <f t="shared" si="74"/>
        <v>656.8</v>
      </c>
      <c r="F51" s="8">
        <f t="shared" si="61"/>
        <v>0</v>
      </c>
      <c r="G51" s="8">
        <f t="shared" si="23"/>
        <v>656.8</v>
      </c>
      <c r="H51" s="8">
        <f t="shared" si="75"/>
        <v>60.9</v>
      </c>
      <c r="I51" s="8">
        <f t="shared" si="62"/>
        <v>0</v>
      </c>
      <c r="J51" s="8">
        <f t="shared" si="63"/>
        <v>0</v>
      </c>
      <c r="K51" s="8">
        <f t="shared" si="64"/>
        <v>0</v>
      </c>
      <c r="L51" s="11">
        <f t="shared" si="65"/>
        <v>0</v>
      </c>
      <c r="M51" s="11">
        <f t="shared" si="66"/>
        <v>18</v>
      </c>
      <c r="N51" s="11">
        <f t="shared" si="67"/>
        <v>0</v>
      </c>
      <c r="O51" s="8">
        <f t="shared" si="24"/>
        <v>735.69999999999993</v>
      </c>
      <c r="P51" s="8">
        <f t="shared" si="68"/>
        <v>0</v>
      </c>
      <c r="Q51" s="8">
        <f t="shared" si="69"/>
        <v>0</v>
      </c>
      <c r="R51" s="40">
        <f t="shared" si="22"/>
        <v>735.69999999999993</v>
      </c>
      <c r="S51" s="957"/>
      <c r="T51" s="15">
        <v>4961</v>
      </c>
      <c r="U51" s="15">
        <f>ROUND(T51*0.324,0)</f>
        <v>1607</v>
      </c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>
        <f>AF52-AF50</f>
        <v>609</v>
      </c>
      <c r="AG51" s="15"/>
      <c r="AH51" s="15"/>
      <c r="AI51" s="15">
        <f>AA51+AB51+AC51+AD51+AE51+AF51+AH51+AG51</f>
        <v>609</v>
      </c>
      <c r="AJ51" s="15"/>
      <c r="AK51" s="15"/>
      <c r="AL51" s="15"/>
      <c r="AM51" s="15"/>
      <c r="AN51" s="15"/>
      <c r="AO51" s="969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>
        <f>BC52-BC50</f>
        <v>180</v>
      </c>
      <c r="BD51" s="15"/>
      <c r="BE51" s="15">
        <f t="shared" si="80"/>
        <v>7357</v>
      </c>
      <c r="BF51" s="70">
        <f t="shared" si="76"/>
        <v>735.7</v>
      </c>
      <c r="BG51" s="222">
        <f>T51+V51</f>
        <v>4961</v>
      </c>
      <c r="BH51" s="222">
        <f>U51+W51</f>
        <v>1607</v>
      </c>
      <c r="BI51" s="222">
        <f>X51+Y51+Z51</f>
        <v>0</v>
      </c>
      <c r="BJ51" s="222">
        <f>BC51</f>
        <v>180</v>
      </c>
      <c r="BK51" s="222">
        <f t="shared" si="82"/>
        <v>0</v>
      </c>
      <c r="BL51" s="222">
        <f>AA51+AB51+AC51+AD51+AE51+AF51+AG51+AH51+AJ51+AK51+AL51+AM51+AN51+AP51+AQ51+AR51+AS51+AT51+AU51+AV51+AW51+AX51+AY51+AZ51+BA51+BD51</f>
        <v>609</v>
      </c>
      <c r="BM51" s="222">
        <f>BG51+BH51+BI51+BJ51+BL51</f>
        <v>7357</v>
      </c>
      <c r="BN51" s="965"/>
    </row>
    <row r="52" spans="1:70" s="98" customFormat="1" ht="18.75" customHeight="1">
      <c r="A52" s="13" t="s">
        <v>42</v>
      </c>
      <c r="B52" s="402"/>
      <c r="C52" s="315">
        <f>C50+C51</f>
        <v>60</v>
      </c>
      <c r="D52" s="958"/>
      <c r="E52" s="22">
        <f>ROUND((T52+U52)/C52,3)</f>
        <v>629.43299999999999</v>
      </c>
      <c r="F52" s="22">
        <f t="shared" si="61"/>
        <v>0</v>
      </c>
      <c r="G52" s="22">
        <f t="shared" si="23"/>
        <v>629.43299999999999</v>
      </c>
      <c r="H52" s="22">
        <f>ROUND(AI52/C52,3)</f>
        <v>60.933</v>
      </c>
      <c r="I52" s="22">
        <f t="shared" si="62"/>
        <v>0</v>
      </c>
      <c r="J52" s="22">
        <f t="shared" si="63"/>
        <v>0</v>
      </c>
      <c r="K52" s="22">
        <f t="shared" si="64"/>
        <v>0</v>
      </c>
      <c r="L52" s="23">
        <f t="shared" si="65"/>
        <v>0</v>
      </c>
      <c r="M52" s="23">
        <f t="shared" si="66"/>
        <v>18</v>
      </c>
      <c r="N52" s="23">
        <f t="shared" si="67"/>
        <v>0</v>
      </c>
      <c r="O52" s="22">
        <f t="shared" si="24"/>
        <v>708.36599999999999</v>
      </c>
      <c r="P52" s="22">
        <f t="shared" si="68"/>
        <v>0</v>
      </c>
      <c r="Q52" s="22">
        <f t="shared" si="69"/>
        <v>0</v>
      </c>
      <c r="R52" s="39">
        <f t="shared" si="22"/>
        <v>708.36599999999999</v>
      </c>
      <c r="S52" s="958"/>
      <c r="T52" s="224">
        <f>T50+T51</f>
        <v>28524</v>
      </c>
      <c r="U52" s="224">
        <f>U50+U51</f>
        <v>9242</v>
      </c>
      <c r="V52" s="224">
        <f t="shared" ref="V52:AH52" si="87">V50+V51</f>
        <v>0</v>
      </c>
      <c r="W52" s="224">
        <f t="shared" si="87"/>
        <v>0</v>
      </c>
      <c r="X52" s="224">
        <f t="shared" si="87"/>
        <v>0</v>
      </c>
      <c r="Y52" s="224">
        <f t="shared" si="87"/>
        <v>0</v>
      </c>
      <c r="Z52" s="224">
        <f t="shared" si="87"/>
        <v>0</v>
      </c>
      <c r="AA52" s="224">
        <f t="shared" si="87"/>
        <v>0</v>
      </c>
      <c r="AB52" s="224">
        <f t="shared" si="87"/>
        <v>0</v>
      </c>
      <c r="AC52" s="224">
        <f t="shared" si="87"/>
        <v>0</v>
      </c>
      <c r="AD52" s="224">
        <f t="shared" si="87"/>
        <v>0</v>
      </c>
      <c r="AE52" s="224">
        <f t="shared" si="87"/>
        <v>0</v>
      </c>
      <c r="AF52" s="224">
        <v>3656</v>
      </c>
      <c r="AG52" s="224">
        <f t="shared" si="87"/>
        <v>0</v>
      </c>
      <c r="AH52" s="224">
        <f t="shared" si="87"/>
        <v>0</v>
      </c>
      <c r="AI52" s="224">
        <f t="shared" ref="AI52:AN52" si="88">AI50+AI51</f>
        <v>3656</v>
      </c>
      <c r="AJ52" s="224">
        <f t="shared" si="88"/>
        <v>0</v>
      </c>
      <c r="AK52" s="224">
        <f t="shared" si="88"/>
        <v>0</v>
      </c>
      <c r="AL52" s="224">
        <f t="shared" si="88"/>
        <v>0</v>
      </c>
      <c r="AM52" s="224">
        <f t="shared" si="88"/>
        <v>0</v>
      </c>
      <c r="AN52" s="224">
        <f t="shared" si="88"/>
        <v>0</v>
      </c>
      <c r="AO52" s="970"/>
      <c r="AP52" s="224">
        <f t="shared" ref="AP52:BD52" si="89">AP50+AP51</f>
        <v>0</v>
      </c>
      <c r="AQ52" s="224">
        <f t="shared" si="89"/>
        <v>0</v>
      </c>
      <c r="AR52" s="224">
        <f t="shared" si="89"/>
        <v>0</v>
      </c>
      <c r="AS52" s="224">
        <f t="shared" si="89"/>
        <v>0</v>
      </c>
      <c r="AT52" s="224">
        <f t="shared" si="89"/>
        <v>0</v>
      </c>
      <c r="AU52" s="224">
        <f t="shared" si="89"/>
        <v>0</v>
      </c>
      <c r="AV52" s="224">
        <f t="shared" si="89"/>
        <v>0</v>
      </c>
      <c r="AW52" s="224">
        <f t="shared" si="89"/>
        <v>0</v>
      </c>
      <c r="AX52" s="224">
        <f t="shared" si="89"/>
        <v>0</v>
      </c>
      <c r="AY52" s="224">
        <f t="shared" si="89"/>
        <v>0</v>
      </c>
      <c r="AZ52" s="224">
        <f t="shared" si="89"/>
        <v>0</v>
      </c>
      <c r="BA52" s="224">
        <f t="shared" si="89"/>
        <v>0</v>
      </c>
      <c r="BB52" s="224">
        <f t="shared" si="89"/>
        <v>0</v>
      </c>
      <c r="BC52" s="224">
        <v>1080</v>
      </c>
      <c r="BD52" s="224">
        <f t="shared" si="89"/>
        <v>0</v>
      </c>
      <c r="BE52" s="224">
        <f t="shared" si="80"/>
        <v>42502</v>
      </c>
      <c r="BF52" s="70">
        <f t="shared" si="76"/>
        <v>708.37</v>
      </c>
      <c r="BG52" s="326">
        <f t="shared" ref="BG52:BM52" si="90">BG50+BG51</f>
        <v>28524</v>
      </c>
      <c r="BH52" s="326">
        <f t="shared" si="90"/>
        <v>9242</v>
      </c>
      <c r="BI52" s="326">
        <f t="shared" si="90"/>
        <v>0</v>
      </c>
      <c r="BJ52" s="326">
        <f t="shared" si="90"/>
        <v>1080</v>
      </c>
      <c r="BK52" s="368">
        <f t="shared" si="82"/>
        <v>0</v>
      </c>
      <c r="BL52" s="326">
        <f t="shared" si="90"/>
        <v>3656</v>
      </c>
      <c r="BM52" s="326">
        <f t="shared" si="90"/>
        <v>42502</v>
      </c>
      <c r="BN52" s="965"/>
      <c r="BO52" s="333"/>
      <c r="BP52" s="333"/>
      <c r="BQ52" s="333"/>
      <c r="BR52" s="333"/>
    </row>
    <row r="53" spans="1:70" ht="66" customHeight="1">
      <c r="A53" s="83" t="s">
        <v>147</v>
      </c>
      <c r="B53" s="9" t="s">
        <v>89</v>
      </c>
      <c r="C53" s="313">
        <v>130</v>
      </c>
      <c r="D53" s="851" t="s">
        <v>82</v>
      </c>
      <c r="E53" s="8">
        <f t="shared" si="74"/>
        <v>326.72000000000003</v>
      </c>
      <c r="F53" s="8">
        <f t="shared" si="61"/>
        <v>0</v>
      </c>
      <c r="G53" s="8">
        <f t="shared" si="23"/>
        <v>326.72000000000003</v>
      </c>
      <c r="H53" s="8">
        <f t="shared" si="75"/>
        <v>60.52</v>
      </c>
      <c r="I53" s="8">
        <f t="shared" si="62"/>
        <v>0</v>
      </c>
      <c r="J53" s="8">
        <f t="shared" si="63"/>
        <v>0</v>
      </c>
      <c r="K53" s="8">
        <f t="shared" si="64"/>
        <v>0</v>
      </c>
      <c r="L53" s="11">
        <f t="shared" si="65"/>
        <v>0</v>
      </c>
      <c r="M53" s="11">
        <f t="shared" si="66"/>
        <v>18</v>
      </c>
      <c r="N53" s="11">
        <f t="shared" si="67"/>
        <v>0</v>
      </c>
      <c r="O53" s="8">
        <f t="shared" si="24"/>
        <v>405.24</v>
      </c>
      <c r="P53" s="8">
        <f t="shared" si="68"/>
        <v>0</v>
      </c>
      <c r="Q53" s="8">
        <f t="shared" si="69"/>
        <v>0</v>
      </c>
      <c r="R53" s="40">
        <f t="shared" si="22"/>
        <v>405.24</v>
      </c>
      <c r="S53" s="851" t="s">
        <v>82</v>
      </c>
      <c r="T53" s="15">
        <v>32622</v>
      </c>
      <c r="U53" s="15">
        <f>ROUND(T53*0.302,0)</f>
        <v>9852</v>
      </c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>
        <f>ROUND(AF55/C55*C53,0)</f>
        <v>7867</v>
      </c>
      <c r="AG53" s="15"/>
      <c r="AH53" s="15"/>
      <c r="AI53" s="15">
        <f>AA53+AB53+AC53+AD53+AE53+AF53+AH53+AG53</f>
        <v>7867</v>
      </c>
      <c r="AJ53" s="15"/>
      <c r="AK53" s="15"/>
      <c r="AL53" s="15"/>
      <c r="AM53" s="15"/>
      <c r="AN53" s="15"/>
      <c r="AO53" s="854" t="s">
        <v>82</v>
      </c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>
        <f>ROUND(BC55/C55*C53,0)</f>
        <v>2340</v>
      </c>
      <c r="BD53" s="15"/>
      <c r="BE53" s="15">
        <f t="shared" si="80"/>
        <v>52681</v>
      </c>
      <c r="BF53" s="70">
        <f t="shared" si="76"/>
        <v>405.24</v>
      </c>
      <c r="BG53" s="222">
        <f>T53+V53</f>
        <v>32622</v>
      </c>
      <c r="BH53" s="222">
        <f>U53+W53</f>
        <v>9852</v>
      </c>
      <c r="BI53" s="222">
        <f>X53+Y53+Z53</f>
        <v>0</v>
      </c>
      <c r="BJ53" s="222">
        <f>BC53</f>
        <v>2340</v>
      </c>
      <c r="BK53" s="222">
        <f>BB53</f>
        <v>0</v>
      </c>
      <c r="BL53" s="222">
        <f>AA53+AB53+AC53+AD53+AE53+AF53+AG53+AH53+AJ53+AK53+AL53+AM53+AN53+AP53+AQ53+AR53+AS53+AT53+AU53+AV53+AW53+AX53+AY53+AZ53+BA53+BD53</f>
        <v>7867</v>
      </c>
      <c r="BM53" s="222">
        <f>BG53+BH53+BI53+BJ53+BL53</f>
        <v>52681</v>
      </c>
      <c r="BN53" s="965" t="s">
        <v>82</v>
      </c>
    </row>
    <row r="54" spans="1:70" ht="68.25" customHeight="1">
      <c r="A54" s="362" t="s">
        <v>359</v>
      </c>
      <c r="B54" s="435" t="s">
        <v>101</v>
      </c>
      <c r="C54" s="313">
        <v>10</v>
      </c>
      <c r="D54" s="957"/>
      <c r="E54" s="8">
        <f t="shared" si="74"/>
        <v>346.7</v>
      </c>
      <c r="F54" s="8">
        <f t="shared" si="61"/>
        <v>0</v>
      </c>
      <c r="G54" s="8">
        <f t="shared" si="23"/>
        <v>346.7</v>
      </c>
      <c r="H54" s="8">
        <f t="shared" si="75"/>
        <v>60.55</v>
      </c>
      <c r="I54" s="8">
        <f t="shared" si="62"/>
        <v>0</v>
      </c>
      <c r="J54" s="8">
        <f t="shared" si="63"/>
        <v>0</v>
      </c>
      <c r="K54" s="8">
        <f t="shared" si="64"/>
        <v>0</v>
      </c>
      <c r="L54" s="11">
        <f t="shared" si="65"/>
        <v>0</v>
      </c>
      <c r="M54" s="11">
        <f t="shared" si="66"/>
        <v>18</v>
      </c>
      <c r="N54" s="11">
        <f t="shared" si="67"/>
        <v>0</v>
      </c>
      <c r="O54" s="8">
        <f t="shared" si="24"/>
        <v>425.25</v>
      </c>
      <c r="P54" s="8">
        <f t="shared" si="68"/>
        <v>0</v>
      </c>
      <c r="Q54" s="8">
        <f t="shared" si="69"/>
        <v>0</v>
      </c>
      <c r="R54" s="40">
        <f t="shared" si="22"/>
        <v>425.25</v>
      </c>
      <c r="S54" s="957"/>
      <c r="T54" s="15">
        <v>2663</v>
      </c>
      <c r="U54" s="15">
        <f>ROUND(T54*0.302,0)</f>
        <v>804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>
        <f>AF55-AF53</f>
        <v>605.5</v>
      </c>
      <c r="AG54" s="15"/>
      <c r="AH54" s="15"/>
      <c r="AI54" s="15">
        <f>AA54+AB54+AC54+AD54+AE54+AF54+AH54+AG54</f>
        <v>605.5</v>
      </c>
      <c r="AJ54" s="15"/>
      <c r="AK54" s="15"/>
      <c r="AL54" s="15"/>
      <c r="AM54" s="15"/>
      <c r="AN54" s="15"/>
      <c r="AO54" s="969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>
        <f>BC55-BC53</f>
        <v>180</v>
      </c>
      <c r="BD54" s="15"/>
      <c r="BE54" s="15">
        <f t="shared" si="80"/>
        <v>4252.5</v>
      </c>
      <c r="BF54" s="70">
        <f t="shared" si="76"/>
        <v>425.25</v>
      </c>
      <c r="BG54" s="222">
        <f>T54+V54</f>
        <v>2663</v>
      </c>
      <c r="BH54" s="222">
        <f>U54+W54</f>
        <v>804</v>
      </c>
      <c r="BI54" s="222">
        <f>X54+Y54+Z54</f>
        <v>0</v>
      </c>
      <c r="BJ54" s="222">
        <f>BC54</f>
        <v>180</v>
      </c>
      <c r="BK54" s="222">
        <f t="shared" si="82"/>
        <v>0</v>
      </c>
      <c r="BL54" s="222">
        <f>AA54+AB54+AC54+AD54+AE54+AF54+AG54+AH54+AJ54+AK54+AL54+AM54+AN54+AP54+AQ54+AR54+AS54+AT54+AU54+AV54+AW54+AX54+AY54+AZ54+BA54+BD54</f>
        <v>605.5</v>
      </c>
      <c r="BM54" s="222">
        <f>BG54+BH54+BI54+BJ54+BL54</f>
        <v>4252.5</v>
      </c>
      <c r="BN54" s="965"/>
    </row>
    <row r="55" spans="1:70" s="98" customFormat="1" ht="29.25" customHeight="1">
      <c r="A55" s="13" t="s">
        <v>42</v>
      </c>
      <c r="B55" s="402"/>
      <c r="C55" s="315">
        <f>C53+C54</f>
        <v>140</v>
      </c>
      <c r="D55" s="958"/>
      <c r="E55" s="22">
        <f t="shared" si="74"/>
        <v>328.15</v>
      </c>
      <c r="F55" s="22">
        <f t="shared" si="61"/>
        <v>0</v>
      </c>
      <c r="G55" s="22">
        <f t="shared" si="23"/>
        <v>328.15</v>
      </c>
      <c r="H55" s="22">
        <f t="shared" si="75"/>
        <v>60.52</v>
      </c>
      <c r="I55" s="22">
        <f t="shared" si="62"/>
        <v>0</v>
      </c>
      <c r="J55" s="22">
        <f t="shared" si="63"/>
        <v>0</v>
      </c>
      <c r="K55" s="22">
        <f t="shared" si="64"/>
        <v>0</v>
      </c>
      <c r="L55" s="23">
        <f t="shared" si="65"/>
        <v>0</v>
      </c>
      <c r="M55" s="23">
        <f t="shared" si="66"/>
        <v>18</v>
      </c>
      <c r="N55" s="23">
        <f t="shared" si="67"/>
        <v>0</v>
      </c>
      <c r="O55" s="22">
        <f t="shared" si="24"/>
        <v>406.66999999999996</v>
      </c>
      <c r="P55" s="22">
        <f t="shared" si="68"/>
        <v>0</v>
      </c>
      <c r="Q55" s="22">
        <f t="shared" si="69"/>
        <v>0</v>
      </c>
      <c r="R55" s="39">
        <f t="shared" si="22"/>
        <v>406.66999999999996</v>
      </c>
      <c r="S55" s="958"/>
      <c r="T55" s="224">
        <f>T53+T54</f>
        <v>35285</v>
      </c>
      <c r="U55" s="224">
        <f t="shared" ref="U55:AH55" si="91">U53+U54</f>
        <v>10656</v>
      </c>
      <c r="V55" s="224">
        <f t="shared" si="91"/>
        <v>0</v>
      </c>
      <c r="W55" s="224">
        <f t="shared" si="91"/>
        <v>0</v>
      </c>
      <c r="X55" s="224">
        <f t="shared" si="91"/>
        <v>0</v>
      </c>
      <c r="Y55" s="224">
        <f t="shared" si="91"/>
        <v>0</v>
      </c>
      <c r="Z55" s="224">
        <f t="shared" si="91"/>
        <v>0</v>
      </c>
      <c r="AA55" s="224">
        <f t="shared" si="91"/>
        <v>0</v>
      </c>
      <c r="AB55" s="224">
        <f t="shared" si="91"/>
        <v>0</v>
      </c>
      <c r="AC55" s="224">
        <f t="shared" si="91"/>
        <v>0</v>
      </c>
      <c r="AD55" s="224">
        <f t="shared" si="91"/>
        <v>0</v>
      </c>
      <c r="AE55" s="224">
        <f t="shared" si="91"/>
        <v>0</v>
      </c>
      <c r="AF55" s="224">
        <v>8472.5</v>
      </c>
      <c r="AG55" s="224">
        <f t="shared" si="91"/>
        <v>0</v>
      </c>
      <c r="AH55" s="224">
        <f t="shared" si="91"/>
        <v>0</v>
      </c>
      <c r="AI55" s="224">
        <f t="shared" ref="AI55:AN55" si="92">AI53+AI54</f>
        <v>8472.5</v>
      </c>
      <c r="AJ55" s="224">
        <f t="shared" si="92"/>
        <v>0</v>
      </c>
      <c r="AK55" s="224">
        <f t="shared" si="92"/>
        <v>0</v>
      </c>
      <c r="AL55" s="224">
        <f t="shared" si="92"/>
        <v>0</v>
      </c>
      <c r="AM55" s="224">
        <f t="shared" si="92"/>
        <v>0</v>
      </c>
      <c r="AN55" s="224">
        <f t="shared" si="92"/>
        <v>0</v>
      </c>
      <c r="AO55" s="970"/>
      <c r="AP55" s="224">
        <f t="shared" ref="AP55:BD55" si="93">AP53+AP54</f>
        <v>0</v>
      </c>
      <c r="AQ55" s="224">
        <f t="shared" si="93"/>
        <v>0</v>
      </c>
      <c r="AR55" s="224">
        <f t="shared" si="93"/>
        <v>0</v>
      </c>
      <c r="AS55" s="224">
        <f t="shared" si="93"/>
        <v>0</v>
      </c>
      <c r="AT55" s="224">
        <f t="shared" si="93"/>
        <v>0</v>
      </c>
      <c r="AU55" s="224">
        <f t="shared" si="93"/>
        <v>0</v>
      </c>
      <c r="AV55" s="224">
        <f t="shared" si="93"/>
        <v>0</v>
      </c>
      <c r="AW55" s="224">
        <f t="shared" si="93"/>
        <v>0</v>
      </c>
      <c r="AX55" s="224">
        <f t="shared" si="93"/>
        <v>0</v>
      </c>
      <c r="AY55" s="224">
        <f t="shared" si="93"/>
        <v>0</v>
      </c>
      <c r="AZ55" s="224">
        <f t="shared" si="93"/>
        <v>0</v>
      </c>
      <c r="BA55" s="224">
        <f t="shared" si="93"/>
        <v>0</v>
      </c>
      <c r="BB55" s="224">
        <f t="shared" si="93"/>
        <v>0</v>
      </c>
      <c r="BC55" s="224">
        <v>2520</v>
      </c>
      <c r="BD55" s="224">
        <f t="shared" si="93"/>
        <v>0</v>
      </c>
      <c r="BE55" s="224">
        <f t="shared" si="80"/>
        <v>56933.5</v>
      </c>
      <c r="BF55" s="70">
        <f t="shared" si="76"/>
        <v>406.67</v>
      </c>
      <c r="BG55" s="326">
        <f t="shared" ref="BG55:BM55" si="94">BG53+BG54</f>
        <v>35285</v>
      </c>
      <c r="BH55" s="326">
        <f t="shared" si="94"/>
        <v>10656</v>
      </c>
      <c r="BI55" s="326">
        <f t="shared" si="94"/>
        <v>0</v>
      </c>
      <c r="BJ55" s="326">
        <f t="shared" si="94"/>
        <v>2520</v>
      </c>
      <c r="BK55" s="368">
        <f t="shared" si="82"/>
        <v>0</v>
      </c>
      <c r="BL55" s="326">
        <f t="shared" si="94"/>
        <v>8472.5</v>
      </c>
      <c r="BM55" s="326">
        <f t="shared" si="94"/>
        <v>56933.5</v>
      </c>
      <c r="BN55" s="965"/>
      <c r="BO55" s="333"/>
      <c r="BP55" s="333"/>
      <c r="BQ55" s="333"/>
      <c r="BR55" s="333"/>
    </row>
    <row r="56" spans="1:70" ht="59.25" customHeight="1">
      <c r="A56" s="83" t="s">
        <v>147</v>
      </c>
      <c r="B56" s="9" t="s">
        <v>89</v>
      </c>
      <c r="C56" s="313">
        <v>350</v>
      </c>
      <c r="D56" s="851" t="s">
        <v>83</v>
      </c>
      <c r="E56" s="8">
        <f>ROUND((T56+U56)/C56,3)</f>
        <v>454.411</v>
      </c>
      <c r="F56" s="8">
        <f t="shared" si="61"/>
        <v>0</v>
      </c>
      <c r="G56" s="8">
        <f t="shared" si="23"/>
        <v>454.411</v>
      </c>
      <c r="H56" s="8">
        <f>ROUND(AI56/C56,3)</f>
        <v>60.305999999999997</v>
      </c>
      <c r="I56" s="8">
        <f t="shared" si="62"/>
        <v>0</v>
      </c>
      <c r="J56" s="8">
        <f t="shared" si="63"/>
        <v>0</v>
      </c>
      <c r="K56" s="8">
        <f t="shared" si="64"/>
        <v>0</v>
      </c>
      <c r="L56" s="11">
        <f t="shared" si="65"/>
        <v>0</v>
      </c>
      <c r="M56" s="11">
        <f>ROUND(BC56/C56,3)</f>
        <v>18</v>
      </c>
      <c r="N56" s="11">
        <f t="shared" si="67"/>
        <v>0</v>
      </c>
      <c r="O56" s="8">
        <f t="shared" si="24"/>
        <v>532.71699999999998</v>
      </c>
      <c r="P56" s="8">
        <f t="shared" si="68"/>
        <v>0</v>
      </c>
      <c r="Q56" s="8">
        <f t="shared" si="69"/>
        <v>0</v>
      </c>
      <c r="R56" s="40">
        <f t="shared" si="22"/>
        <v>532.71699999999998</v>
      </c>
      <c r="S56" s="851" t="s">
        <v>83</v>
      </c>
      <c r="T56" s="15">
        <v>121953</v>
      </c>
      <c r="U56" s="15">
        <f>ROUND(T56*0.30414,0)</f>
        <v>37091</v>
      </c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>
        <f>ROUND(AF58/C58*C56,0)</f>
        <v>21107</v>
      </c>
      <c r="AG56" s="15"/>
      <c r="AH56" s="15"/>
      <c r="AI56" s="15">
        <f>AA56+AB56+AC56+AD56+AE56+AF56+AH56+AG56</f>
        <v>21107</v>
      </c>
      <c r="AJ56" s="15"/>
      <c r="AK56" s="15"/>
      <c r="AL56" s="15"/>
      <c r="AM56" s="15"/>
      <c r="AN56" s="15"/>
      <c r="AO56" s="854" t="s">
        <v>83</v>
      </c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>
        <f>ROUND(BC58/C58*C56,0)</f>
        <v>6300</v>
      </c>
      <c r="BD56" s="15"/>
      <c r="BE56" s="15">
        <f t="shared" si="80"/>
        <v>186451</v>
      </c>
      <c r="BF56" s="70">
        <f>ROUND(BE56/C56,3)</f>
        <v>532.71699999999998</v>
      </c>
      <c r="BG56" s="222">
        <f>T56+V56</f>
        <v>121953</v>
      </c>
      <c r="BH56" s="222">
        <f>U56+W56</f>
        <v>37091</v>
      </c>
      <c r="BI56" s="222">
        <f>X56+Y56+Z56</f>
        <v>0</v>
      </c>
      <c r="BJ56" s="222">
        <f>BC56</f>
        <v>6300</v>
      </c>
      <c r="BK56" s="222">
        <f>BB56</f>
        <v>0</v>
      </c>
      <c r="BL56" s="222">
        <f>AA56+AB56+AC56+AD56+AE56+AF56+AG56+AH56+AJ56+AK56+AL56+AM56+AN56+AP56+AQ56+AR56+AS56+AT56+AU56+AV56+AW56+AX56+AY56+AZ56+BA56+BD56</f>
        <v>21107</v>
      </c>
      <c r="BM56" s="222">
        <f>BG56+BH56+BI56+BJ56+BL56</f>
        <v>186451</v>
      </c>
      <c r="BN56" s="965" t="s">
        <v>83</v>
      </c>
    </row>
    <row r="57" spans="1:70" ht="58.5" customHeight="1">
      <c r="A57" s="362" t="s">
        <v>359</v>
      </c>
      <c r="B57" s="435" t="s">
        <v>101</v>
      </c>
      <c r="C57" s="313">
        <v>90</v>
      </c>
      <c r="D57" s="957"/>
      <c r="E57" s="8">
        <f t="shared" si="74"/>
        <v>454.41</v>
      </c>
      <c r="F57" s="8">
        <f t="shared" si="61"/>
        <v>0</v>
      </c>
      <c r="G57" s="8">
        <f t="shared" si="23"/>
        <v>454.41</v>
      </c>
      <c r="H57" s="8">
        <f t="shared" si="75"/>
        <v>60.31</v>
      </c>
      <c r="I57" s="8">
        <f t="shared" si="62"/>
        <v>0</v>
      </c>
      <c r="J57" s="8">
        <f t="shared" si="63"/>
        <v>0</v>
      </c>
      <c r="K57" s="8">
        <f t="shared" si="64"/>
        <v>0</v>
      </c>
      <c r="L57" s="11">
        <f t="shared" si="65"/>
        <v>0</v>
      </c>
      <c r="M57" s="11">
        <f t="shared" si="66"/>
        <v>18</v>
      </c>
      <c r="N57" s="11">
        <f t="shared" si="67"/>
        <v>0</v>
      </c>
      <c r="O57" s="8">
        <f t="shared" si="24"/>
        <v>532.72</v>
      </c>
      <c r="P57" s="8">
        <f t="shared" si="68"/>
        <v>0</v>
      </c>
      <c r="Q57" s="8">
        <f t="shared" si="69"/>
        <v>0</v>
      </c>
      <c r="R57" s="40">
        <f t="shared" si="22"/>
        <v>532.72</v>
      </c>
      <c r="S57" s="957"/>
      <c r="T57" s="15">
        <v>31359</v>
      </c>
      <c r="U57" s="15">
        <f>ROUND(T57*0.30414,0)</f>
        <v>9538</v>
      </c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>
        <f>AF58-AF56</f>
        <v>5428</v>
      </c>
      <c r="AG57" s="15"/>
      <c r="AH57" s="15"/>
      <c r="AI57" s="15">
        <f>AA57+AB57+AC57+AD57+AE57+AF57+AH57+AG57</f>
        <v>5428</v>
      </c>
      <c r="AJ57" s="15"/>
      <c r="AK57" s="15"/>
      <c r="AL57" s="15"/>
      <c r="AM57" s="15"/>
      <c r="AN57" s="15"/>
      <c r="AO57" s="969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>
        <f>BC58-BC56</f>
        <v>1620</v>
      </c>
      <c r="BD57" s="15"/>
      <c r="BE57" s="15">
        <f t="shared" si="80"/>
        <v>47945</v>
      </c>
      <c r="BF57" s="70">
        <f t="shared" si="76"/>
        <v>532.72</v>
      </c>
      <c r="BG57" s="222">
        <f>T57+V57</f>
        <v>31359</v>
      </c>
      <c r="BH57" s="222">
        <f>U57+W57</f>
        <v>9538</v>
      </c>
      <c r="BI57" s="222">
        <f>X57+Y57+Z57</f>
        <v>0</v>
      </c>
      <c r="BJ57" s="222">
        <f>BC57</f>
        <v>1620</v>
      </c>
      <c r="BK57" s="222">
        <f t="shared" si="82"/>
        <v>0</v>
      </c>
      <c r="BL57" s="222">
        <f>AA57+AB57+AC57+AD57+AE57+AF57+AG57+AH57+AJ57+AK57+AL57+AM57+AN57+AP57+AQ57+AR57+AS57+AT57+AU57+AV57+AW57+AX57+AY57+AZ57+BA57+BD57</f>
        <v>5428</v>
      </c>
      <c r="BM57" s="222">
        <f>BG57+BH57+BI57+BJ57+BL57</f>
        <v>47945</v>
      </c>
      <c r="BN57" s="965"/>
    </row>
    <row r="58" spans="1:70" s="98" customFormat="1" ht="23.25" customHeight="1">
      <c r="A58" s="13" t="s">
        <v>42</v>
      </c>
      <c r="B58" s="402"/>
      <c r="C58" s="315">
        <f>C56+C57</f>
        <v>440</v>
      </c>
      <c r="D58" s="958"/>
      <c r="E58" s="22">
        <f t="shared" si="74"/>
        <v>454.41</v>
      </c>
      <c r="F58" s="22">
        <f t="shared" si="61"/>
        <v>0</v>
      </c>
      <c r="G58" s="22">
        <f t="shared" si="23"/>
        <v>454.41</v>
      </c>
      <c r="H58" s="22">
        <f t="shared" si="75"/>
        <v>60.31</v>
      </c>
      <c r="I58" s="22">
        <f t="shared" si="62"/>
        <v>0</v>
      </c>
      <c r="J58" s="22">
        <f t="shared" si="63"/>
        <v>0</v>
      </c>
      <c r="K58" s="22">
        <f t="shared" si="64"/>
        <v>0</v>
      </c>
      <c r="L58" s="23">
        <f t="shared" si="65"/>
        <v>0</v>
      </c>
      <c r="M58" s="23">
        <f t="shared" si="66"/>
        <v>18</v>
      </c>
      <c r="N58" s="23">
        <f t="shared" si="67"/>
        <v>0</v>
      </c>
      <c r="O58" s="22">
        <f t="shared" si="24"/>
        <v>532.72</v>
      </c>
      <c r="P58" s="22">
        <f t="shared" si="68"/>
        <v>0</v>
      </c>
      <c r="Q58" s="22">
        <f t="shared" si="69"/>
        <v>0</v>
      </c>
      <c r="R58" s="39">
        <f t="shared" si="22"/>
        <v>532.72</v>
      </c>
      <c r="S58" s="958"/>
      <c r="T58" s="224">
        <f>T56+T57</f>
        <v>153312</v>
      </c>
      <c r="U58" s="224">
        <f t="shared" ref="U58:AH58" si="95">U56+U57</f>
        <v>46629</v>
      </c>
      <c r="V58" s="224">
        <f t="shared" si="95"/>
        <v>0</v>
      </c>
      <c r="W58" s="224">
        <f t="shared" si="95"/>
        <v>0</v>
      </c>
      <c r="X58" s="224">
        <f t="shared" si="95"/>
        <v>0</v>
      </c>
      <c r="Y58" s="224">
        <f t="shared" si="95"/>
        <v>0</v>
      </c>
      <c r="Z58" s="224">
        <f t="shared" si="95"/>
        <v>0</v>
      </c>
      <c r="AA58" s="224">
        <f t="shared" si="95"/>
        <v>0</v>
      </c>
      <c r="AB58" s="224">
        <f t="shared" si="95"/>
        <v>0</v>
      </c>
      <c r="AC58" s="224">
        <f t="shared" si="95"/>
        <v>0</v>
      </c>
      <c r="AD58" s="224">
        <f t="shared" si="95"/>
        <v>0</v>
      </c>
      <c r="AE58" s="224">
        <f t="shared" si="95"/>
        <v>0</v>
      </c>
      <c r="AF58" s="224">
        <v>26535</v>
      </c>
      <c r="AG58" s="224">
        <f t="shared" si="95"/>
        <v>0</v>
      </c>
      <c r="AH58" s="224">
        <f t="shared" si="95"/>
        <v>0</v>
      </c>
      <c r="AI58" s="224">
        <f t="shared" ref="AI58:AN58" si="96">AI56+AI57</f>
        <v>26535</v>
      </c>
      <c r="AJ58" s="224">
        <f t="shared" si="96"/>
        <v>0</v>
      </c>
      <c r="AK58" s="224">
        <f t="shared" si="96"/>
        <v>0</v>
      </c>
      <c r="AL58" s="224">
        <f t="shared" si="96"/>
        <v>0</v>
      </c>
      <c r="AM58" s="224">
        <f t="shared" si="96"/>
        <v>0</v>
      </c>
      <c r="AN58" s="224">
        <f t="shared" si="96"/>
        <v>0</v>
      </c>
      <c r="AO58" s="970"/>
      <c r="AP58" s="224">
        <f t="shared" ref="AP58:BD58" si="97">AP56+AP57</f>
        <v>0</v>
      </c>
      <c r="AQ58" s="224">
        <f t="shared" si="97"/>
        <v>0</v>
      </c>
      <c r="AR58" s="224">
        <f t="shared" si="97"/>
        <v>0</v>
      </c>
      <c r="AS58" s="224">
        <f t="shared" si="97"/>
        <v>0</v>
      </c>
      <c r="AT58" s="224">
        <f t="shared" si="97"/>
        <v>0</v>
      </c>
      <c r="AU58" s="224">
        <f t="shared" si="97"/>
        <v>0</v>
      </c>
      <c r="AV58" s="224">
        <f t="shared" si="97"/>
        <v>0</v>
      </c>
      <c r="AW58" s="224">
        <f t="shared" si="97"/>
        <v>0</v>
      </c>
      <c r="AX58" s="224">
        <f t="shared" si="97"/>
        <v>0</v>
      </c>
      <c r="AY58" s="224">
        <f t="shared" si="97"/>
        <v>0</v>
      </c>
      <c r="AZ58" s="224">
        <f t="shared" si="97"/>
        <v>0</v>
      </c>
      <c r="BA58" s="224">
        <f t="shared" si="97"/>
        <v>0</v>
      </c>
      <c r="BB58" s="224">
        <f t="shared" si="97"/>
        <v>0</v>
      </c>
      <c r="BC58" s="224">
        <v>7920</v>
      </c>
      <c r="BD58" s="224">
        <f t="shared" si="97"/>
        <v>0</v>
      </c>
      <c r="BE58" s="224">
        <f t="shared" si="80"/>
        <v>234396</v>
      </c>
      <c r="BF58" s="70">
        <f t="shared" si="76"/>
        <v>532.72</v>
      </c>
      <c r="BG58" s="326">
        <f t="shared" ref="BG58:BM58" si="98">BG56+BG57</f>
        <v>153312</v>
      </c>
      <c r="BH58" s="601">
        <f t="shared" si="98"/>
        <v>46629</v>
      </c>
      <c r="BI58" s="326">
        <f t="shared" si="98"/>
        <v>0</v>
      </c>
      <c r="BJ58" s="326">
        <f t="shared" si="98"/>
        <v>7920</v>
      </c>
      <c r="BK58" s="368">
        <f t="shared" si="82"/>
        <v>0</v>
      </c>
      <c r="BL58" s="326">
        <f t="shared" si="98"/>
        <v>26535</v>
      </c>
      <c r="BM58" s="326">
        <f t="shared" si="98"/>
        <v>234396</v>
      </c>
      <c r="BN58" s="965"/>
      <c r="BO58" s="333"/>
      <c r="BP58" s="333"/>
      <c r="BQ58" s="333"/>
      <c r="BR58" s="333"/>
    </row>
    <row r="59" spans="1:70" ht="63" customHeight="1">
      <c r="A59" s="83" t="s">
        <v>147</v>
      </c>
      <c r="B59" s="9" t="s">
        <v>89</v>
      </c>
      <c r="C59" s="313">
        <v>25</v>
      </c>
      <c r="D59" s="851" t="s">
        <v>84</v>
      </c>
      <c r="E59" s="8">
        <f t="shared" si="74"/>
        <v>329.4</v>
      </c>
      <c r="F59" s="8">
        <f t="shared" si="61"/>
        <v>0</v>
      </c>
      <c r="G59" s="8">
        <f t="shared" si="23"/>
        <v>329.4</v>
      </c>
      <c r="H59" s="8">
        <f t="shared" si="75"/>
        <v>60.36</v>
      </c>
      <c r="I59" s="8">
        <f t="shared" si="62"/>
        <v>0</v>
      </c>
      <c r="J59" s="8">
        <f t="shared" si="63"/>
        <v>0</v>
      </c>
      <c r="K59" s="8">
        <f t="shared" si="64"/>
        <v>0</v>
      </c>
      <c r="L59" s="11">
        <f t="shared" si="65"/>
        <v>0</v>
      </c>
      <c r="M59" s="11">
        <f t="shared" si="66"/>
        <v>18</v>
      </c>
      <c r="N59" s="11">
        <f t="shared" si="67"/>
        <v>0</v>
      </c>
      <c r="O59" s="8">
        <f t="shared" si="24"/>
        <v>407.76</v>
      </c>
      <c r="P59" s="8">
        <f t="shared" si="68"/>
        <v>0</v>
      </c>
      <c r="Q59" s="8">
        <f t="shared" si="69"/>
        <v>0</v>
      </c>
      <c r="R59" s="40">
        <f t="shared" si="22"/>
        <v>407.76</v>
      </c>
      <c r="S59" s="851" t="s">
        <v>84</v>
      </c>
      <c r="T59" s="15">
        <v>6325</v>
      </c>
      <c r="U59" s="15">
        <f>ROUND(T59*0.302,0)</f>
        <v>1910</v>
      </c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>
        <f>ROUND(AF61/C61*C59,0)</f>
        <v>1509</v>
      </c>
      <c r="AG59" s="15"/>
      <c r="AH59" s="15"/>
      <c r="AI59" s="15">
        <f>AA59+AB59+AC59+AD59+AE59+AF59+AH59+AG59</f>
        <v>1509</v>
      </c>
      <c r="AJ59" s="15"/>
      <c r="AK59" s="15"/>
      <c r="AL59" s="15"/>
      <c r="AM59" s="15"/>
      <c r="AN59" s="15"/>
      <c r="AO59" s="854" t="s">
        <v>84</v>
      </c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>
        <f>ROUND(BC61/C61*C59,0)</f>
        <v>450</v>
      </c>
      <c r="BD59" s="15"/>
      <c r="BE59" s="15">
        <f t="shared" si="80"/>
        <v>10194</v>
      </c>
      <c r="BF59" s="70">
        <f t="shared" si="76"/>
        <v>407.76</v>
      </c>
      <c r="BG59" s="222">
        <f>T59+V59</f>
        <v>6325</v>
      </c>
      <c r="BH59" s="222">
        <f>U59+W59</f>
        <v>1910</v>
      </c>
      <c r="BI59" s="222">
        <f>X59+Y59+Z59</f>
        <v>0</v>
      </c>
      <c r="BJ59" s="222">
        <f>BC59</f>
        <v>450</v>
      </c>
      <c r="BK59" s="222">
        <f>BB59</f>
        <v>0</v>
      </c>
      <c r="BL59" s="222">
        <f>AA59+AB59+AC59+AD59+AE59+AF59+AG59+AH59+AJ59+AK59+AL59+AM59+AN59+AP59+AQ59+AR59+AS59+AT59+AU59+AV59+AW59+AX59+AY59+AZ59+BA59+BD59</f>
        <v>1509</v>
      </c>
      <c r="BM59" s="222">
        <f>BG59+BH59+BI59+BJ59+BL59</f>
        <v>10194</v>
      </c>
      <c r="BN59" s="965" t="s">
        <v>84</v>
      </c>
    </row>
    <row r="60" spans="1:70" ht="45" customHeight="1">
      <c r="A60" s="362" t="s">
        <v>359</v>
      </c>
      <c r="B60" s="435" t="s">
        <v>101</v>
      </c>
      <c r="C60" s="313">
        <v>125</v>
      </c>
      <c r="D60" s="957"/>
      <c r="E60" s="8">
        <f t="shared" si="74"/>
        <v>325.92</v>
      </c>
      <c r="F60" s="8">
        <f t="shared" si="61"/>
        <v>0</v>
      </c>
      <c r="G60" s="8">
        <f t="shared" si="23"/>
        <v>325.92</v>
      </c>
      <c r="H60" s="8">
        <f t="shared" si="75"/>
        <v>60.35</v>
      </c>
      <c r="I60" s="8">
        <f t="shared" si="62"/>
        <v>0</v>
      </c>
      <c r="J60" s="8">
        <f t="shared" si="63"/>
        <v>0</v>
      </c>
      <c r="K60" s="8">
        <f t="shared" si="64"/>
        <v>0</v>
      </c>
      <c r="L60" s="11">
        <f t="shared" si="65"/>
        <v>0</v>
      </c>
      <c r="M60" s="11">
        <f t="shared" si="66"/>
        <v>18</v>
      </c>
      <c r="N60" s="11">
        <f t="shared" si="67"/>
        <v>0</v>
      </c>
      <c r="O60" s="8">
        <f t="shared" si="24"/>
        <v>404.27</v>
      </c>
      <c r="P60" s="8">
        <f t="shared" si="68"/>
        <v>0</v>
      </c>
      <c r="Q60" s="8">
        <f t="shared" si="69"/>
        <v>0</v>
      </c>
      <c r="R60" s="40">
        <f t="shared" si="22"/>
        <v>404.27</v>
      </c>
      <c r="S60" s="957"/>
      <c r="T60" s="15">
        <v>31290</v>
      </c>
      <c r="U60" s="15">
        <f>ROUND(T60*0.302,0)</f>
        <v>9450</v>
      </c>
      <c r="V60" s="15"/>
      <c r="W60" s="15"/>
      <c r="X60" s="15"/>
      <c r="Y60" s="15"/>
      <c r="Z60" s="298"/>
      <c r="AA60" s="15"/>
      <c r="AB60" s="15"/>
      <c r="AC60" s="15"/>
      <c r="AD60" s="15"/>
      <c r="AE60" s="15"/>
      <c r="AF60" s="15">
        <f>AF61-AF59</f>
        <v>7544</v>
      </c>
      <c r="AG60" s="15"/>
      <c r="AH60" s="15"/>
      <c r="AI60" s="15">
        <f>AA60+AB60+AC60+AD60+AE60+AF60+AH60+AG60</f>
        <v>7544</v>
      </c>
      <c r="AJ60" s="15"/>
      <c r="AK60" s="15"/>
      <c r="AL60" s="15"/>
      <c r="AM60" s="15"/>
      <c r="AN60" s="15"/>
      <c r="AO60" s="969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>
        <f>BC61-BC59</f>
        <v>2250</v>
      </c>
      <c r="BD60" s="15"/>
      <c r="BE60" s="15">
        <f t="shared" si="80"/>
        <v>50534</v>
      </c>
      <c r="BF60" s="70">
        <f t="shared" si="76"/>
        <v>404.27</v>
      </c>
      <c r="BG60" s="222">
        <f>T60+V60</f>
        <v>31290</v>
      </c>
      <c r="BH60" s="222">
        <f>U60+W60</f>
        <v>9450</v>
      </c>
      <c r="BI60" s="222">
        <f>X60+Y60+Z60</f>
        <v>0</v>
      </c>
      <c r="BJ60" s="222">
        <f>BC60</f>
        <v>2250</v>
      </c>
      <c r="BK60" s="222">
        <f t="shared" si="82"/>
        <v>0</v>
      </c>
      <c r="BL60" s="222">
        <f>AA60+AB60+AC60+AD60+AE60+AF60+AG60+AH60+AJ60+AK60+AL60+AM60+AN60+AP60+AQ60+AR60+AS60+AT60+AU60+AV60+AW60+AX60+AY60+AZ60+BA60+BD60</f>
        <v>7544</v>
      </c>
      <c r="BM60" s="222">
        <f>BG60+BH60+BI60+BJ60+BL60</f>
        <v>50534</v>
      </c>
      <c r="BN60" s="965"/>
    </row>
    <row r="61" spans="1:70" s="98" customFormat="1" ht="19.5" customHeight="1">
      <c r="A61" s="13" t="s">
        <v>42</v>
      </c>
      <c r="B61" s="402"/>
      <c r="C61" s="315">
        <f>C59+C60</f>
        <v>150</v>
      </c>
      <c r="D61" s="958"/>
      <c r="E61" s="22">
        <f>ROUND((T61+U61)/C61,3)</f>
        <v>326.5</v>
      </c>
      <c r="F61" s="22">
        <f t="shared" si="61"/>
        <v>0</v>
      </c>
      <c r="G61" s="22">
        <f t="shared" si="23"/>
        <v>326.5</v>
      </c>
      <c r="H61" s="22">
        <f>ROUND(AI61/C61,3)</f>
        <v>60.353000000000002</v>
      </c>
      <c r="I61" s="22">
        <f t="shared" si="62"/>
        <v>0</v>
      </c>
      <c r="J61" s="22">
        <f t="shared" si="63"/>
        <v>0</v>
      </c>
      <c r="K61" s="22">
        <f t="shared" si="64"/>
        <v>0</v>
      </c>
      <c r="L61" s="23">
        <f t="shared" si="65"/>
        <v>0</v>
      </c>
      <c r="M61" s="23">
        <f>ROUND(BC61/C61,3)</f>
        <v>18</v>
      </c>
      <c r="N61" s="23">
        <f t="shared" si="67"/>
        <v>0</v>
      </c>
      <c r="O61" s="22">
        <f t="shared" si="24"/>
        <v>404.85300000000001</v>
      </c>
      <c r="P61" s="22">
        <f t="shared" si="68"/>
        <v>0</v>
      </c>
      <c r="Q61" s="22">
        <f t="shared" si="69"/>
        <v>0</v>
      </c>
      <c r="R61" s="39">
        <f t="shared" si="22"/>
        <v>404.85300000000001</v>
      </c>
      <c r="S61" s="958"/>
      <c r="T61" s="224">
        <f>T59+T60</f>
        <v>37615</v>
      </c>
      <c r="U61" s="224">
        <f t="shared" ref="U61:AH61" si="99">U59+U60</f>
        <v>11360</v>
      </c>
      <c r="V61" s="224">
        <f t="shared" si="99"/>
        <v>0</v>
      </c>
      <c r="W61" s="224">
        <f t="shared" si="99"/>
        <v>0</v>
      </c>
      <c r="X61" s="224">
        <f t="shared" si="99"/>
        <v>0</v>
      </c>
      <c r="Y61" s="224">
        <f t="shared" si="99"/>
        <v>0</v>
      </c>
      <c r="Z61" s="224">
        <f t="shared" si="99"/>
        <v>0</v>
      </c>
      <c r="AA61" s="224">
        <f t="shared" si="99"/>
        <v>0</v>
      </c>
      <c r="AB61" s="224">
        <f t="shared" si="99"/>
        <v>0</v>
      </c>
      <c r="AC61" s="224">
        <f t="shared" si="99"/>
        <v>0</v>
      </c>
      <c r="AD61" s="224">
        <f t="shared" si="99"/>
        <v>0</v>
      </c>
      <c r="AE61" s="224">
        <f t="shared" si="99"/>
        <v>0</v>
      </c>
      <c r="AF61" s="224">
        <v>9053</v>
      </c>
      <c r="AG61" s="224">
        <f t="shared" si="99"/>
        <v>0</v>
      </c>
      <c r="AH61" s="224">
        <f t="shared" si="99"/>
        <v>0</v>
      </c>
      <c r="AI61" s="224">
        <f t="shared" ref="AI61:AN61" si="100">AI59+AI60</f>
        <v>9053</v>
      </c>
      <c r="AJ61" s="224">
        <f t="shared" si="100"/>
        <v>0</v>
      </c>
      <c r="AK61" s="224">
        <f t="shared" si="100"/>
        <v>0</v>
      </c>
      <c r="AL61" s="224">
        <f t="shared" si="100"/>
        <v>0</v>
      </c>
      <c r="AM61" s="224">
        <f t="shared" si="100"/>
        <v>0</v>
      </c>
      <c r="AN61" s="224">
        <f t="shared" si="100"/>
        <v>0</v>
      </c>
      <c r="AO61" s="970"/>
      <c r="AP61" s="224">
        <f t="shared" ref="AP61:BD61" si="101">AP59+AP60</f>
        <v>0</v>
      </c>
      <c r="AQ61" s="224">
        <f t="shared" si="101"/>
        <v>0</v>
      </c>
      <c r="AR61" s="224">
        <f t="shared" si="101"/>
        <v>0</v>
      </c>
      <c r="AS61" s="224">
        <f t="shared" si="101"/>
        <v>0</v>
      </c>
      <c r="AT61" s="224">
        <f t="shared" si="101"/>
        <v>0</v>
      </c>
      <c r="AU61" s="224">
        <f t="shared" si="101"/>
        <v>0</v>
      </c>
      <c r="AV61" s="224">
        <f t="shared" si="101"/>
        <v>0</v>
      </c>
      <c r="AW61" s="224">
        <f t="shared" si="101"/>
        <v>0</v>
      </c>
      <c r="AX61" s="224">
        <f t="shared" si="101"/>
        <v>0</v>
      </c>
      <c r="AY61" s="224">
        <f t="shared" si="101"/>
        <v>0</v>
      </c>
      <c r="AZ61" s="224">
        <f t="shared" si="101"/>
        <v>0</v>
      </c>
      <c r="BA61" s="224">
        <f t="shared" si="101"/>
        <v>0</v>
      </c>
      <c r="BB61" s="224">
        <f t="shared" si="101"/>
        <v>0</v>
      </c>
      <c r="BC61" s="224">
        <v>2700</v>
      </c>
      <c r="BD61" s="224">
        <f t="shared" si="101"/>
        <v>0</v>
      </c>
      <c r="BE61" s="224">
        <f t="shared" si="80"/>
        <v>60728</v>
      </c>
      <c r="BF61" s="70">
        <f>ROUND(BE61/C61,3)</f>
        <v>404.85300000000001</v>
      </c>
      <c r="BG61" s="326">
        <f t="shared" ref="BG61:BM61" si="102">BG59+BG60</f>
        <v>37615</v>
      </c>
      <c r="BH61" s="326">
        <f t="shared" si="102"/>
        <v>11360</v>
      </c>
      <c r="BI61" s="326">
        <f t="shared" si="102"/>
        <v>0</v>
      </c>
      <c r="BJ61" s="326">
        <f t="shared" si="102"/>
        <v>2700</v>
      </c>
      <c r="BK61" s="368">
        <f t="shared" si="82"/>
        <v>0</v>
      </c>
      <c r="BL61" s="326">
        <f t="shared" si="102"/>
        <v>9053</v>
      </c>
      <c r="BM61" s="326">
        <f t="shared" si="102"/>
        <v>60728</v>
      </c>
      <c r="BN61" s="965"/>
      <c r="BO61" s="333"/>
      <c r="BP61" s="333"/>
      <c r="BQ61" s="333"/>
      <c r="BR61" s="333"/>
    </row>
    <row r="62" spans="1:70" ht="56.25" customHeight="1">
      <c r="A62" s="83" t="s">
        <v>147</v>
      </c>
      <c r="B62" s="9" t="s">
        <v>89</v>
      </c>
      <c r="C62" s="313">
        <v>98</v>
      </c>
      <c r="D62" s="851" t="s">
        <v>85</v>
      </c>
      <c r="E62" s="8">
        <f t="shared" si="74"/>
        <v>555.42999999999995</v>
      </c>
      <c r="F62" s="8">
        <f t="shared" si="61"/>
        <v>0</v>
      </c>
      <c r="G62" s="8">
        <f t="shared" si="23"/>
        <v>555.42999999999995</v>
      </c>
      <c r="H62" s="8">
        <f t="shared" si="75"/>
        <v>60.49</v>
      </c>
      <c r="I62" s="8">
        <f t="shared" si="62"/>
        <v>0</v>
      </c>
      <c r="J62" s="8">
        <f t="shared" si="63"/>
        <v>0</v>
      </c>
      <c r="K62" s="8">
        <f t="shared" si="64"/>
        <v>0</v>
      </c>
      <c r="L62" s="11">
        <f t="shared" si="65"/>
        <v>0</v>
      </c>
      <c r="M62" s="11">
        <f t="shared" si="66"/>
        <v>18</v>
      </c>
      <c r="N62" s="11">
        <f t="shared" si="67"/>
        <v>0</v>
      </c>
      <c r="O62" s="8">
        <f t="shared" si="24"/>
        <v>633.91999999999996</v>
      </c>
      <c r="P62" s="8">
        <f t="shared" si="68"/>
        <v>0</v>
      </c>
      <c r="Q62" s="8">
        <f t="shared" si="69"/>
        <v>0</v>
      </c>
      <c r="R62" s="40">
        <f t="shared" si="22"/>
        <v>633.91999999999996</v>
      </c>
      <c r="S62" s="851" t="s">
        <v>85</v>
      </c>
      <c r="T62" s="15">
        <v>41201</v>
      </c>
      <c r="U62" s="15">
        <v>13231</v>
      </c>
      <c r="V62" s="15"/>
      <c r="W62" s="15"/>
      <c r="X62" s="15"/>
      <c r="Y62" s="15"/>
      <c r="Z62" s="298"/>
      <c r="AA62" s="15"/>
      <c r="AB62" s="15"/>
      <c r="AC62" s="15"/>
      <c r="AD62" s="15"/>
      <c r="AE62" s="15"/>
      <c r="AF62" s="15">
        <f>ROUND(AF64/C64*C62,0)</f>
        <v>5928</v>
      </c>
      <c r="AG62" s="15"/>
      <c r="AH62" s="15"/>
      <c r="AI62" s="15">
        <f>AA62+AB62+AC62+AD62+AE62+AF62+AH62+AG62</f>
        <v>5928</v>
      </c>
      <c r="AJ62" s="15"/>
      <c r="AK62" s="15"/>
      <c r="AL62" s="15"/>
      <c r="AM62" s="15"/>
      <c r="AN62" s="15"/>
      <c r="AO62" s="854" t="s">
        <v>85</v>
      </c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>
        <f>ROUND(BC64/C64*C62,0)</f>
        <v>1764</v>
      </c>
      <c r="BD62" s="15"/>
      <c r="BE62" s="15">
        <f t="shared" si="80"/>
        <v>62124</v>
      </c>
      <c r="BF62" s="70">
        <f t="shared" si="76"/>
        <v>633.91999999999996</v>
      </c>
      <c r="BG62" s="222">
        <f>T62+V62</f>
        <v>41201</v>
      </c>
      <c r="BH62" s="222">
        <f>U62+W62</f>
        <v>13231</v>
      </c>
      <c r="BI62" s="222">
        <f>X62+Y62+Z62</f>
        <v>0</v>
      </c>
      <c r="BJ62" s="222">
        <f>BC62</f>
        <v>1764</v>
      </c>
      <c r="BK62" s="222">
        <f>BB62</f>
        <v>0</v>
      </c>
      <c r="BL62" s="222">
        <f>AA62+AB62+AC62+AD62+AE62+AF62+AG62+AH62+AJ62+AK62+AL62+AM62+AN62+AP62+AQ62+AR62+AS62+AT62+AU62+AV62+AW62+AX62+AY62+AZ62+BA62+BD62</f>
        <v>5928</v>
      </c>
      <c r="BM62" s="222">
        <f>BG62+BH62+BI62+BJ62+BL62</f>
        <v>62124</v>
      </c>
      <c r="BN62" s="965" t="s">
        <v>85</v>
      </c>
    </row>
    <row r="63" spans="1:70" ht="60" customHeight="1">
      <c r="A63" s="362" t="s">
        <v>359</v>
      </c>
      <c r="B63" s="435" t="s">
        <v>101</v>
      </c>
      <c r="C63" s="313">
        <v>50</v>
      </c>
      <c r="D63" s="957"/>
      <c r="E63" s="8">
        <f t="shared" ref="E63:E69" si="103">ROUND((T63+U63)/C63,3)</f>
        <v>559</v>
      </c>
      <c r="F63" s="8">
        <f t="shared" si="61"/>
        <v>0</v>
      </c>
      <c r="G63" s="8">
        <f t="shared" si="23"/>
        <v>559</v>
      </c>
      <c r="H63" s="8">
        <f t="shared" ref="H63:H69" si="104">ROUND(AI63/C63,3)</f>
        <v>60.48</v>
      </c>
      <c r="I63" s="8">
        <f t="shared" si="62"/>
        <v>0</v>
      </c>
      <c r="J63" s="8">
        <f t="shared" si="63"/>
        <v>0</v>
      </c>
      <c r="K63" s="8">
        <f t="shared" si="64"/>
        <v>0</v>
      </c>
      <c r="L63" s="11">
        <f t="shared" si="65"/>
        <v>0</v>
      </c>
      <c r="M63" s="11">
        <f>ROUND(BC63/C63,3)</f>
        <v>18</v>
      </c>
      <c r="N63" s="11">
        <f t="shared" si="67"/>
        <v>0</v>
      </c>
      <c r="O63" s="8">
        <f t="shared" si="24"/>
        <v>637.48</v>
      </c>
      <c r="P63" s="8">
        <f t="shared" si="68"/>
        <v>0</v>
      </c>
      <c r="Q63" s="8">
        <f t="shared" si="69"/>
        <v>0</v>
      </c>
      <c r="R63" s="40">
        <f t="shared" si="22"/>
        <v>637.48</v>
      </c>
      <c r="S63" s="957"/>
      <c r="T63" s="15">
        <v>21158</v>
      </c>
      <c r="U63" s="15">
        <f>ROUND(T63*0.321,0)</f>
        <v>6792</v>
      </c>
      <c r="V63" s="15"/>
      <c r="W63" s="15"/>
      <c r="X63" s="15"/>
      <c r="Y63" s="15"/>
      <c r="Z63" s="298"/>
      <c r="AA63" s="15"/>
      <c r="AB63" s="15"/>
      <c r="AC63" s="15"/>
      <c r="AD63" s="15"/>
      <c r="AE63" s="15"/>
      <c r="AF63" s="15">
        <f>AF64-AF62</f>
        <v>3024</v>
      </c>
      <c r="AG63" s="15"/>
      <c r="AH63" s="15"/>
      <c r="AI63" s="15">
        <f>AA63+AB63+AC63+AD63+AE63+AF63+AH63+AG63</f>
        <v>3024</v>
      </c>
      <c r="AJ63" s="15"/>
      <c r="AK63" s="15"/>
      <c r="AL63" s="15"/>
      <c r="AM63" s="15"/>
      <c r="AN63" s="15"/>
      <c r="AO63" s="969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>
        <f>BC64-BC62</f>
        <v>900</v>
      </c>
      <c r="BD63" s="15"/>
      <c r="BE63" s="15">
        <f t="shared" si="80"/>
        <v>31874</v>
      </c>
      <c r="BF63" s="70">
        <f t="shared" si="76"/>
        <v>637.48</v>
      </c>
      <c r="BG63" s="222">
        <f>T63+V63</f>
        <v>21158</v>
      </c>
      <c r="BH63" s="222">
        <f>U63+W63</f>
        <v>6792</v>
      </c>
      <c r="BI63" s="222">
        <f>X63+Y63+Z63</f>
        <v>0</v>
      </c>
      <c r="BJ63" s="222">
        <f>BC63</f>
        <v>900</v>
      </c>
      <c r="BK63" s="222">
        <f t="shared" si="82"/>
        <v>0</v>
      </c>
      <c r="BL63" s="222">
        <f>AA63+AB63+AC63+AD63+AE63+AF63+AG63+AH63+AJ63+AK63+AL63+AM63+AN63+AP63+AQ63+AR63+AS63+AT63+AU63+AV63+AW63+AX63+AY63+AZ63+BA63+BD63</f>
        <v>3024</v>
      </c>
      <c r="BM63" s="222">
        <f>BG63+BH63+BI63+BJ63+BL63</f>
        <v>31874</v>
      </c>
      <c r="BN63" s="965"/>
    </row>
    <row r="64" spans="1:70" s="98" customFormat="1" ht="30" customHeight="1">
      <c r="A64" s="13" t="s">
        <v>42</v>
      </c>
      <c r="B64" s="402"/>
      <c r="C64" s="315">
        <f>C62+C63</f>
        <v>148</v>
      </c>
      <c r="D64" s="958"/>
      <c r="E64" s="22">
        <f t="shared" si="103"/>
        <v>556.63499999999999</v>
      </c>
      <c r="F64" s="22">
        <f t="shared" si="61"/>
        <v>0</v>
      </c>
      <c r="G64" s="22">
        <f t="shared" si="23"/>
        <v>556.63499999999999</v>
      </c>
      <c r="H64" s="22">
        <f t="shared" si="104"/>
        <v>60.485999999999997</v>
      </c>
      <c r="I64" s="22">
        <f t="shared" si="62"/>
        <v>0</v>
      </c>
      <c r="J64" s="22">
        <f t="shared" si="63"/>
        <v>0</v>
      </c>
      <c r="K64" s="22">
        <f t="shared" si="64"/>
        <v>0</v>
      </c>
      <c r="L64" s="23">
        <f t="shared" si="65"/>
        <v>0</v>
      </c>
      <c r="M64" s="23">
        <f>ROUND(BC64/C64,3)</f>
        <v>18</v>
      </c>
      <c r="N64" s="23">
        <f t="shared" si="67"/>
        <v>0</v>
      </c>
      <c r="O64" s="22">
        <f t="shared" si="24"/>
        <v>635.12099999999998</v>
      </c>
      <c r="P64" s="22">
        <f t="shared" si="68"/>
        <v>0</v>
      </c>
      <c r="Q64" s="22">
        <f t="shared" si="69"/>
        <v>0</v>
      </c>
      <c r="R64" s="39">
        <f t="shared" si="22"/>
        <v>635.12099999999998</v>
      </c>
      <c r="S64" s="958"/>
      <c r="T64" s="224">
        <f>T62+T63</f>
        <v>62359</v>
      </c>
      <c r="U64" s="224">
        <f t="shared" ref="U64:AH64" si="105">U62+U63</f>
        <v>20023</v>
      </c>
      <c r="V64" s="224">
        <f t="shared" si="105"/>
        <v>0</v>
      </c>
      <c r="W64" s="224">
        <f t="shared" si="105"/>
        <v>0</v>
      </c>
      <c r="X64" s="224">
        <f t="shared" si="105"/>
        <v>0</v>
      </c>
      <c r="Y64" s="224">
        <f t="shared" si="105"/>
        <v>0</v>
      </c>
      <c r="Z64" s="224">
        <f t="shared" si="105"/>
        <v>0</v>
      </c>
      <c r="AA64" s="224">
        <f t="shared" si="105"/>
        <v>0</v>
      </c>
      <c r="AB64" s="224">
        <f t="shared" si="105"/>
        <v>0</v>
      </c>
      <c r="AC64" s="224">
        <f t="shared" si="105"/>
        <v>0</v>
      </c>
      <c r="AD64" s="224">
        <f t="shared" si="105"/>
        <v>0</v>
      </c>
      <c r="AE64" s="224">
        <f t="shared" si="105"/>
        <v>0</v>
      </c>
      <c r="AF64" s="224">
        <v>8952</v>
      </c>
      <c r="AG64" s="224">
        <f t="shared" si="105"/>
        <v>0</v>
      </c>
      <c r="AH64" s="224">
        <f t="shared" si="105"/>
        <v>0</v>
      </c>
      <c r="AI64" s="224">
        <f t="shared" ref="AI64:AN64" si="106">AI62+AI63</f>
        <v>8952</v>
      </c>
      <c r="AJ64" s="224">
        <f t="shared" si="106"/>
        <v>0</v>
      </c>
      <c r="AK64" s="224">
        <f t="shared" si="106"/>
        <v>0</v>
      </c>
      <c r="AL64" s="224">
        <f t="shared" si="106"/>
        <v>0</v>
      </c>
      <c r="AM64" s="224">
        <f t="shared" si="106"/>
        <v>0</v>
      </c>
      <c r="AN64" s="224">
        <f t="shared" si="106"/>
        <v>0</v>
      </c>
      <c r="AO64" s="970"/>
      <c r="AP64" s="224">
        <f t="shared" ref="AP64:BD64" si="107">AP62+AP63</f>
        <v>0</v>
      </c>
      <c r="AQ64" s="224">
        <f t="shared" si="107"/>
        <v>0</v>
      </c>
      <c r="AR64" s="224">
        <f t="shared" si="107"/>
        <v>0</v>
      </c>
      <c r="AS64" s="224">
        <f t="shared" si="107"/>
        <v>0</v>
      </c>
      <c r="AT64" s="224">
        <f t="shared" si="107"/>
        <v>0</v>
      </c>
      <c r="AU64" s="224">
        <f t="shared" si="107"/>
        <v>0</v>
      </c>
      <c r="AV64" s="224">
        <f t="shared" si="107"/>
        <v>0</v>
      </c>
      <c r="AW64" s="224">
        <f t="shared" si="107"/>
        <v>0</v>
      </c>
      <c r="AX64" s="224">
        <f t="shared" si="107"/>
        <v>0</v>
      </c>
      <c r="AY64" s="224">
        <f t="shared" si="107"/>
        <v>0</v>
      </c>
      <c r="AZ64" s="224">
        <f t="shared" si="107"/>
        <v>0</v>
      </c>
      <c r="BA64" s="224">
        <f t="shared" si="107"/>
        <v>0</v>
      </c>
      <c r="BB64" s="224">
        <f t="shared" si="107"/>
        <v>0</v>
      </c>
      <c r="BC64" s="224">
        <v>2664</v>
      </c>
      <c r="BD64" s="224">
        <f t="shared" si="107"/>
        <v>0</v>
      </c>
      <c r="BE64" s="224">
        <f t="shared" si="80"/>
        <v>93998</v>
      </c>
      <c r="BF64" s="70">
        <f t="shared" si="76"/>
        <v>635.12</v>
      </c>
      <c r="BG64" s="326">
        <f t="shared" ref="BG64:BM64" si="108">BG62+BG63</f>
        <v>62359</v>
      </c>
      <c r="BH64" s="326">
        <f t="shared" si="108"/>
        <v>20023</v>
      </c>
      <c r="BI64" s="326">
        <f t="shared" si="108"/>
        <v>0</v>
      </c>
      <c r="BJ64" s="326">
        <f t="shared" si="108"/>
        <v>2664</v>
      </c>
      <c r="BK64" s="368">
        <f t="shared" si="82"/>
        <v>0</v>
      </c>
      <c r="BL64" s="326">
        <f t="shared" si="108"/>
        <v>8952</v>
      </c>
      <c r="BM64" s="326">
        <f t="shared" si="108"/>
        <v>93998</v>
      </c>
      <c r="BN64" s="965"/>
      <c r="BO64" s="333"/>
      <c r="BP64" s="333"/>
      <c r="BQ64" s="333"/>
      <c r="BR64" s="333"/>
    </row>
    <row r="65" spans="1:72" ht="62.25" customHeight="1">
      <c r="A65" s="83" t="s">
        <v>147</v>
      </c>
      <c r="B65" s="9" t="s">
        <v>89</v>
      </c>
      <c r="C65" s="313">
        <v>38</v>
      </c>
      <c r="D65" s="851" t="s">
        <v>86</v>
      </c>
      <c r="E65" s="8">
        <f t="shared" si="103"/>
        <v>330.78899999999999</v>
      </c>
      <c r="F65" s="8">
        <f t="shared" si="61"/>
        <v>0</v>
      </c>
      <c r="G65" s="8">
        <f t="shared" si="23"/>
        <v>330.78899999999999</v>
      </c>
      <c r="H65" s="8">
        <f t="shared" si="104"/>
        <v>60.683999999999997</v>
      </c>
      <c r="I65" s="8">
        <f t="shared" si="62"/>
        <v>0</v>
      </c>
      <c r="J65" s="8">
        <f t="shared" si="63"/>
        <v>0</v>
      </c>
      <c r="K65" s="8">
        <f t="shared" si="64"/>
        <v>0</v>
      </c>
      <c r="L65" s="11">
        <f t="shared" si="65"/>
        <v>0</v>
      </c>
      <c r="M65" s="11">
        <f>ROUND(BC65/C65,3)</f>
        <v>18</v>
      </c>
      <c r="N65" s="11">
        <f t="shared" si="67"/>
        <v>0</v>
      </c>
      <c r="O65" s="8">
        <f t="shared" si="24"/>
        <v>409.47299999999996</v>
      </c>
      <c r="P65" s="8">
        <f t="shared" si="68"/>
        <v>0</v>
      </c>
      <c r="Q65" s="8">
        <f t="shared" si="69"/>
        <v>0</v>
      </c>
      <c r="R65" s="40">
        <f t="shared" si="22"/>
        <v>409.47299999999996</v>
      </c>
      <c r="S65" s="851" t="s">
        <v>86</v>
      </c>
      <c r="T65" s="15">
        <v>9654</v>
      </c>
      <c r="U65" s="15">
        <f>ROUND(T65*0.302,0)</f>
        <v>2916</v>
      </c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>
        <f>ROUND(AF67/C67*C65,0)</f>
        <v>2306</v>
      </c>
      <c r="AG65" s="15"/>
      <c r="AH65" s="15"/>
      <c r="AI65" s="15">
        <f>AA65+AB65+AC65+AD65+AE65+AF65+AH65+AG65</f>
        <v>2306</v>
      </c>
      <c r="AJ65" s="15"/>
      <c r="AK65" s="15"/>
      <c r="AL65" s="15"/>
      <c r="AM65" s="15"/>
      <c r="AN65" s="15"/>
      <c r="AO65" s="854" t="s">
        <v>86</v>
      </c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>
        <f>ROUND(BC67/C67*C65,0)</f>
        <v>684</v>
      </c>
      <c r="BD65" s="15"/>
      <c r="BE65" s="15">
        <f t="shared" si="80"/>
        <v>15560</v>
      </c>
      <c r="BF65" s="70">
        <f t="shared" si="76"/>
        <v>409.47</v>
      </c>
      <c r="BG65" s="222">
        <f>T65+V65</f>
        <v>9654</v>
      </c>
      <c r="BH65" s="222">
        <f>U65+W65</f>
        <v>2916</v>
      </c>
      <c r="BI65" s="222">
        <f>X65+Y65+Z65</f>
        <v>0</v>
      </c>
      <c r="BJ65" s="222">
        <f>BC65</f>
        <v>684</v>
      </c>
      <c r="BK65" s="222">
        <f>BB65</f>
        <v>0</v>
      </c>
      <c r="BL65" s="222">
        <f>AA65+AB65+AC65+AD65+AE65+AF65+AG65+AH65+AJ65+AK65+AL65+AM65+AN65+AP65+AQ65+AR65+AS65+AT65+AU65+AV65+AW65+AX65+AY65+AZ65+BA65+BD65</f>
        <v>2306</v>
      </c>
      <c r="BM65" s="222">
        <f>BG65+BH65+BI65+BJ65+BL65</f>
        <v>15560</v>
      </c>
      <c r="BN65" s="965" t="s">
        <v>86</v>
      </c>
    </row>
    <row r="66" spans="1:72" ht="66.75" customHeight="1">
      <c r="A66" s="362" t="s">
        <v>359</v>
      </c>
      <c r="B66" s="435" t="s">
        <v>101</v>
      </c>
      <c r="C66" s="313">
        <v>8</v>
      </c>
      <c r="D66" s="957"/>
      <c r="E66" s="8">
        <f t="shared" si="103"/>
        <v>325</v>
      </c>
      <c r="F66" s="8">
        <f t="shared" si="61"/>
        <v>0</v>
      </c>
      <c r="G66" s="8">
        <f t="shared" si="23"/>
        <v>325</v>
      </c>
      <c r="H66" s="8">
        <f t="shared" si="104"/>
        <v>60.625</v>
      </c>
      <c r="I66" s="8">
        <f t="shared" si="62"/>
        <v>0</v>
      </c>
      <c r="J66" s="8">
        <f t="shared" si="63"/>
        <v>0</v>
      </c>
      <c r="K66" s="8">
        <f t="shared" si="64"/>
        <v>0</v>
      </c>
      <c r="L66" s="11">
        <f t="shared" si="65"/>
        <v>0</v>
      </c>
      <c r="M66" s="11">
        <f>ROUND(BC66/C66,3)</f>
        <v>18</v>
      </c>
      <c r="N66" s="11">
        <f t="shared" si="67"/>
        <v>0</v>
      </c>
      <c r="O66" s="8">
        <f t="shared" si="24"/>
        <v>403.625</v>
      </c>
      <c r="P66" s="8">
        <f t="shared" si="68"/>
        <v>0</v>
      </c>
      <c r="Q66" s="8">
        <f t="shared" si="69"/>
        <v>0</v>
      </c>
      <c r="R66" s="40">
        <f t="shared" si="22"/>
        <v>403.625</v>
      </c>
      <c r="S66" s="957"/>
      <c r="T66" s="15">
        <v>1997</v>
      </c>
      <c r="U66" s="15">
        <f>ROUND(T66*0.302,0)</f>
        <v>603</v>
      </c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>
        <f>AF67-AF65</f>
        <v>485</v>
      </c>
      <c r="AG66" s="15"/>
      <c r="AH66" s="15"/>
      <c r="AI66" s="15">
        <f>AA66+AB66+AC66+AD66+AE66+AF66+AH66+AG66</f>
        <v>485</v>
      </c>
      <c r="AJ66" s="15"/>
      <c r="AK66" s="15"/>
      <c r="AL66" s="15"/>
      <c r="AM66" s="15"/>
      <c r="AN66" s="15"/>
      <c r="AO66" s="969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>
        <f>BC67-BC65</f>
        <v>144</v>
      </c>
      <c r="BD66" s="299"/>
      <c r="BE66" s="15">
        <f t="shared" si="80"/>
        <v>3229</v>
      </c>
      <c r="BF66" s="70">
        <f t="shared" si="76"/>
        <v>403.63</v>
      </c>
      <c r="BG66" s="222">
        <f>T66+V66</f>
        <v>1997</v>
      </c>
      <c r="BH66" s="222">
        <f>U66+W66</f>
        <v>603</v>
      </c>
      <c r="BI66" s="222">
        <f>X66+Y66+Z66</f>
        <v>0</v>
      </c>
      <c r="BJ66" s="222">
        <f>BC66</f>
        <v>144</v>
      </c>
      <c r="BK66" s="222">
        <f t="shared" si="82"/>
        <v>0</v>
      </c>
      <c r="BL66" s="222">
        <f>AA66+AB66+AC66+AD66+AE66+AF66+AG66+AH66+AJ66+AK66+AL66+AM66+AN66+AP66+AQ66+AR66+AS66+AT66+AU66+AV66+AW66+AX66+AY66+AZ66+BA66+BD66</f>
        <v>485</v>
      </c>
      <c r="BM66" s="222">
        <f>BG66+BH66+BI66+BJ66+BL66</f>
        <v>3229</v>
      </c>
      <c r="BN66" s="965"/>
    </row>
    <row r="67" spans="1:72" s="98" customFormat="1" ht="21.75" customHeight="1">
      <c r="A67" s="13" t="s">
        <v>42</v>
      </c>
      <c r="B67" s="402"/>
      <c r="C67" s="315">
        <f>C65+C66</f>
        <v>46</v>
      </c>
      <c r="D67" s="958"/>
      <c r="E67" s="22">
        <f t="shared" si="103"/>
        <v>329.78300000000002</v>
      </c>
      <c r="F67" s="22">
        <f t="shared" si="61"/>
        <v>0</v>
      </c>
      <c r="G67" s="22">
        <f t="shared" si="23"/>
        <v>329.78300000000002</v>
      </c>
      <c r="H67" s="22">
        <f t="shared" si="104"/>
        <v>60.673999999999999</v>
      </c>
      <c r="I67" s="22">
        <f t="shared" si="62"/>
        <v>0</v>
      </c>
      <c r="J67" s="22">
        <f t="shared" si="63"/>
        <v>0</v>
      </c>
      <c r="K67" s="22">
        <f t="shared" si="64"/>
        <v>0</v>
      </c>
      <c r="L67" s="23">
        <f t="shared" si="65"/>
        <v>0</v>
      </c>
      <c r="M67" s="23">
        <f t="shared" si="66"/>
        <v>18</v>
      </c>
      <c r="N67" s="23">
        <f t="shared" si="67"/>
        <v>0</v>
      </c>
      <c r="O67" s="22">
        <f t="shared" si="24"/>
        <v>408.45699999999999</v>
      </c>
      <c r="P67" s="22">
        <f t="shared" si="68"/>
        <v>0</v>
      </c>
      <c r="Q67" s="22">
        <f t="shared" si="69"/>
        <v>0</v>
      </c>
      <c r="R67" s="39">
        <f t="shared" si="22"/>
        <v>408.45699999999999</v>
      </c>
      <c r="S67" s="958"/>
      <c r="T67" s="224">
        <f>T65+T66</f>
        <v>11651</v>
      </c>
      <c r="U67" s="224">
        <f t="shared" ref="U67:AH67" si="109">U65+U66</f>
        <v>3519</v>
      </c>
      <c r="V67" s="224">
        <f t="shared" si="109"/>
        <v>0</v>
      </c>
      <c r="W67" s="224">
        <f t="shared" si="109"/>
        <v>0</v>
      </c>
      <c r="X67" s="224">
        <f t="shared" si="109"/>
        <v>0</v>
      </c>
      <c r="Y67" s="224">
        <f t="shared" si="109"/>
        <v>0</v>
      </c>
      <c r="Z67" s="224">
        <f t="shared" si="109"/>
        <v>0</v>
      </c>
      <c r="AA67" s="224">
        <f t="shared" si="109"/>
        <v>0</v>
      </c>
      <c r="AB67" s="224">
        <f t="shared" si="109"/>
        <v>0</v>
      </c>
      <c r="AC67" s="224">
        <f t="shared" si="109"/>
        <v>0</v>
      </c>
      <c r="AD67" s="224">
        <f t="shared" si="109"/>
        <v>0</v>
      </c>
      <c r="AE67" s="224">
        <f t="shared" si="109"/>
        <v>0</v>
      </c>
      <c r="AF67" s="224">
        <v>2791</v>
      </c>
      <c r="AG67" s="224">
        <f t="shared" si="109"/>
        <v>0</v>
      </c>
      <c r="AH67" s="224">
        <f t="shared" si="109"/>
        <v>0</v>
      </c>
      <c r="AI67" s="224">
        <f t="shared" ref="AI67:AN67" si="110">AI65+AI66</f>
        <v>2791</v>
      </c>
      <c r="AJ67" s="224">
        <f t="shared" si="110"/>
        <v>0</v>
      </c>
      <c r="AK67" s="224">
        <f t="shared" si="110"/>
        <v>0</v>
      </c>
      <c r="AL67" s="224">
        <f t="shared" si="110"/>
        <v>0</v>
      </c>
      <c r="AM67" s="224">
        <f t="shared" si="110"/>
        <v>0</v>
      </c>
      <c r="AN67" s="224">
        <f t="shared" si="110"/>
        <v>0</v>
      </c>
      <c r="AO67" s="970"/>
      <c r="AP67" s="224">
        <f t="shared" ref="AP67:BD67" si="111">AP65+AP66</f>
        <v>0</v>
      </c>
      <c r="AQ67" s="224">
        <f t="shared" si="111"/>
        <v>0</v>
      </c>
      <c r="AR67" s="224">
        <f t="shared" si="111"/>
        <v>0</v>
      </c>
      <c r="AS67" s="224">
        <f t="shared" si="111"/>
        <v>0</v>
      </c>
      <c r="AT67" s="224">
        <f t="shared" si="111"/>
        <v>0</v>
      </c>
      <c r="AU67" s="224">
        <f t="shared" si="111"/>
        <v>0</v>
      </c>
      <c r="AV67" s="224">
        <f t="shared" si="111"/>
        <v>0</v>
      </c>
      <c r="AW67" s="224">
        <f t="shared" si="111"/>
        <v>0</v>
      </c>
      <c r="AX67" s="224">
        <f t="shared" si="111"/>
        <v>0</v>
      </c>
      <c r="AY67" s="224">
        <f t="shared" si="111"/>
        <v>0</v>
      </c>
      <c r="AZ67" s="224">
        <f t="shared" si="111"/>
        <v>0</v>
      </c>
      <c r="BA67" s="224">
        <f t="shared" si="111"/>
        <v>0</v>
      </c>
      <c r="BB67" s="224">
        <f t="shared" si="111"/>
        <v>0</v>
      </c>
      <c r="BC67" s="224">
        <v>828</v>
      </c>
      <c r="BD67" s="224">
        <f t="shared" si="111"/>
        <v>0</v>
      </c>
      <c r="BE67" s="224">
        <f t="shared" si="80"/>
        <v>18789</v>
      </c>
      <c r="BF67" s="70">
        <f>ROUND(BE67/C67,3)</f>
        <v>408.45699999999999</v>
      </c>
      <c r="BG67" s="326">
        <f t="shared" ref="BG67:BM67" si="112">BG65+BG66</f>
        <v>11651</v>
      </c>
      <c r="BH67" s="601">
        <f t="shared" si="112"/>
        <v>3519</v>
      </c>
      <c r="BI67" s="326">
        <f t="shared" si="112"/>
        <v>0</v>
      </c>
      <c r="BJ67" s="326">
        <f t="shared" si="112"/>
        <v>828</v>
      </c>
      <c r="BK67" s="368">
        <f t="shared" si="82"/>
        <v>0</v>
      </c>
      <c r="BL67" s="326">
        <f t="shared" si="112"/>
        <v>2791</v>
      </c>
      <c r="BM67" s="326">
        <f t="shared" si="112"/>
        <v>18789</v>
      </c>
      <c r="BN67" s="965"/>
      <c r="BO67" s="333"/>
      <c r="BP67" s="333"/>
      <c r="BQ67" s="333"/>
      <c r="BR67" s="333"/>
    </row>
    <row r="68" spans="1:72" s="98" customFormat="1" ht="42.75" customHeight="1">
      <c r="A68" s="83" t="s">
        <v>147</v>
      </c>
      <c r="B68" s="9" t="s">
        <v>89</v>
      </c>
      <c r="C68" s="313">
        <v>10</v>
      </c>
      <c r="D68" s="851" t="s">
        <v>362</v>
      </c>
      <c r="E68" s="8">
        <f t="shared" si="103"/>
        <v>2523.5</v>
      </c>
      <c r="F68" s="8">
        <f>ROUND((V68+W68)/C68,2)</f>
        <v>0</v>
      </c>
      <c r="G68" s="8">
        <f>E68+F68</f>
        <v>2523.5</v>
      </c>
      <c r="H68" s="8">
        <f t="shared" si="104"/>
        <v>62.3</v>
      </c>
      <c r="I68" s="8">
        <f>ROUND((AJ68+AK68+AL68+AM68+AN68)/C68,2)</f>
        <v>0</v>
      </c>
      <c r="J68" s="8">
        <f>ROUND((AP68+AQ68+AR68+AS68+AT68)/C68,2)</f>
        <v>0</v>
      </c>
      <c r="K68" s="8">
        <f>ROUND((AW68+AX68)/C68,2)</f>
        <v>0</v>
      </c>
      <c r="L68" s="11">
        <f>ROUND(BB68/C68,2)</f>
        <v>0</v>
      </c>
      <c r="M68" s="11">
        <f>ROUND(BC68/C68,3)</f>
        <v>18</v>
      </c>
      <c r="N68" s="11">
        <f>ROUND(BD68/C68,2)</f>
        <v>0</v>
      </c>
      <c r="O68" s="8">
        <f>N68+M68+L68+K68+J68+I68+H68+G68</f>
        <v>2603.8000000000002</v>
      </c>
      <c r="P68" s="8">
        <f>ROUND((X68+Y68+Z68)/C68,2)</f>
        <v>0</v>
      </c>
      <c r="Q68" s="8">
        <f>ROUND(AU68/C68,2)</f>
        <v>0</v>
      </c>
      <c r="R68" s="40">
        <f>O68+P68+Q68</f>
        <v>2603.8000000000002</v>
      </c>
      <c r="S68" s="851" t="s">
        <v>362</v>
      </c>
      <c r="T68" s="224">
        <v>18793</v>
      </c>
      <c r="U68" s="15">
        <v>6442</v>
      </c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15">
        <f>ROUND(AF70/C70*C68,0)</f>
        <v>623</v>
      </c>
      <c r="AG68" s="224"/>
      <c r="AH68" s="224"/>
      <c r="AI68" s="15">
        <f>AA68+AB68+AC68+AD68+AE68+AF68+AH68+AG68</f>
        <v>623</v>
      </c>
      <c r="AJ68" s="224"/>
      <c r="AK68" s="224"/>
      <c r="AL68" s="224"/>
      <c r="AM68" s="224"/>
      <c r="AN68" s="224"/>
      <c r="AO68" s="851" t="s">
        <v>362</v>
      </c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15">
        <f>ROUND(BC70/C70*C68,0)</f>
        <v>180</v>
      </c>
      <c r="BD68" s="369"/>
      <c r="BE68" s="15">
        <f>T68+U68+V68+W68+X68+Y68+Z68+AI68+AJ68+AK68+AL68+AM68+AP68+AQ68+AR68+AS68+AT68+AU68+AV68+AW68+AX68+AY68+AZ68+BA68+BB68+BC68+BD68</f>
        <v>26038</v>
      </c>
      <c r="BF68" s="70">
        <f>ROUND(BE68/C68,2)</f>
        <v>2603.8000000000002</v>
      </c>
      <c r="BG68" s="222">
        <f>T68+V68</f>
        <v>18793</v>
      </c>
      <c r="BH68" s="222">
        <f>U68+W68</f>
        <v>6442</v>
      </c>
      <c r="BI68" s="222">
        <f>X68+Y68+Z68</f>
        <v>0</v>
      </c>
      <c r="BJ68" s="222">
        <f>BC68</f>
        <v>180</v>
      </c>
      <c r="BK68" s="222">
        <f>BB68</f>
        <v>0</v>
      </c>
      <c r="BL68" s="222">
        <f>AA68+AB68+AC68+AD68+AE68+AF68+AG68+AH68+AJ68+AK68+AL68+AM68+AN68+AP68+AQ68+AR68+AS68+AT68+AU68+AV68+AW68+AX68+AY68+AZ68+BA68+BD68</f>
        <v>623</v>
      </c>
      <c r="BM68" s="222">
        <f>BG68+BH68+BI68+BJ68+BL68</f>
        <v>26038</v>
      </c>
      <c r="BN68" s="955" t="s">
        <v>362</v>
      </c>
      <c r="BO68" s="333"/>
      <c r="BP68" s="333"/>
      <c r="BQ68" s="333"/>
      <c r="BR68" s="333"/>
    </row>
    <row r="69" spans="1:72" s="98" customFormat="1" ht="32.25" customHeight="1">
      <c r="A69" s="364" t="s">
        <v>359</v>
      </c>
      <c r="B69" s="435" t="s">
        <v>101</v>
      </c>
      <c r="C69" s="313">
        <v>5</v>
      </c>
      <c r="D69" s="660"/>
      <c r="E69" s="8">
        <f t="shared" si="103"/>
        <v>2523.4</v>
      </c>
      <c r="F69" s="8">
        <f>ROUND((V69+W69)/C69,2)</f>
        <v>0</v>
      </c>
      <c r="G69" s="8">
        <f>E69+F69</f>
        <v>2523.4</v>
      </c>
      <c r="H69" s="8">
        <f t="shared" si="104"/>
        <v>62.4</v>
      </c>
      <c r="I69" s="8">
        <f>ROUND((AJ69+AK69+AL69+AM69+AN69)/C69,2)</f>
        <v>0</v>
      </c>
      <c r="J69" s="8">
        <f>ROUND((AP69+AQ69+AR69+AS69+AT69)/C69,2)</f>
        <v>0</v>
      </c>
      <c r="K69" s="8">
        <f>ROUND((AW69+AX69)/C69,2)</f>
        <v>0</v>
      </c>
      <c r="L69" s="11">
        <f>ROUND(BB69/C69,2)</f>
        <v>0</v>
      </c>
      <c r="M69" s="11">
        <f>ROUND(BC69/C69,3)</f>
        <v>18</v>
      </c>
      <c r="N69" s="11">
        <f>ROUND(BD69/C69,2)</f>
        <v>0</v>
      </c>
      <c r="O69" s="8">
        <f>N69+M69+L69+K69+J69+I69+H69+G69</f>
        <v>2603.8000000000002</v>
      </c>
      <c r="P69" s="8">
        <f>ROUND((X69+Y69+Z69)/C69,2)</f>
        <v>0</v>
      </c>
      <c r="Q69" s="8">
        <f>ROUND(AU69/C69,2)</f>
        <v>0</v>
      </c>
      <c r="R69" s="40">
        <f>O69+P69+Q69</f>
        <v>2603.8000000000002</v>
      </c>
      <c r="S69" s="660"/>
      <c r="T69" s="224">
        <v>9397</v>
      </c>
      <c r="U69" s="15">
        <f>ROUND(T69*0.3427,0)</f>
        <v>3220</v>
      </c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15">
        <f>AF70-AF68</f>
        <v>312</v>
      </c>
      <c r="AG69" s="224"/>
      <c r="AH69" s="224"/>
      <c r="AI69" s="15">
        <f>AA69+AB69+AC69+AD69+AE69+AF69+AH69+AG69</f>
        <v>312</v>
      </c>
      <c r="AJ69" s="224"/>
      <c r="AK69" s="224"/>
      <c r="AL69" s="224"/>
      <c r="AM69" s="224"/>
      <c r="AN69" s="224"/>
      <c r="AO69" s="660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15">
        <f>BC70-BC68</f>
        <v>90</v>
      </c>
      <c r="BD69" s="369"/>
      <c r="BE69" s="15">
        <f>T69+U69+V69+W69+X69+Y69+Z69+AI69+AJ69+AK69+AL69+AM69+AP69+AQ69+AR69+AS69+AT69+AU69+AV69+AW69+AX69+AY69+AZ69+BA69+BB69+BC69+BD69</f>
        <v>13019</v>
      </c>
      <c r="BF69" s="70">
        <f>ROUND(BE69/C69,2)</f>
        <v>2603.8000000000002</v>
      </c>
      <c r="BG69" s="222">
        <f>T69+V69</f>
        <v>9397</v>
      </c>
      <c r="BH69" s="222">
        <f>U69+W69</f>
        <v>3220</v>
      </c>
      <c r="BI69" s="222">
        <f>X69+Y69+Z69</f>
        <v>0</v>
      </c>
      <c r="BJ69" s="222">
        <f>BC69</f>
        <v>90</v>
      </c>
      <c r="BK69" s="222">
        <f>BB69</f>
        <v>0</v>
      </c>
      <c r="BL69" s="222">
        <f>AA69+AB69+AC69+AD69+AE69+AF69+AG69+AH69+AJ69+AK69+AL69+AM69+AN69+AP69+AQ69+AR69+AS69+AT69+AU69+AV69+AW69+AX69+AY69+AZ69+BA69+BD69</f>
        <v>312</v>
      </c>
      <c r="BM69" s="222">
        <f>BG69+BH69+BI69+BJ69+BL69</f>
        <v>13019</v>
      </c>
      <c r="BN69" s="652"/>
      <c r="BO69" s="333"/>
      <c r="BP69" s="333"/>
      <c r="BQ69" s="333"/>
      <c r="BR69" s="333"/>
    </row>
    <row r="70" spans="1:72" s="98" customFormat="1" ht="25.5" customHeight="1">
      <c r="A70" s="13" t="s">
        <v>42</v>
      </c>
      <c r="B70" s="402"/>
      <c r="C70" s="315">
        <f>C68+C69</f>
        <v>15</v>
      </c>
      <c r="D70" s="649"/>
      <c r="E70" s="22">
        <f>ROUND((T70+U70)/C70,2)</f>
        <v>2523.4699999999998</v>
      </c>
      <c r="F70" s="22">
        <f>ROUND((V70+W70)/C70,2)</f>
        <v>0</v>
      </c>
      <c r="G70" s="22">
        <f>E70+F70</f>
        <v>2523.4699999999998</v>
      </c>
      <c r="H70" s="22">
        <f>ROUND(AI70/C70,2)</f>
        <v>62.33</v>
      </c>
      <c r="I70" s="22">
        <f>ROUND((AJ70+AK70+AL70+AM70+AN70)/C70,2)</f>
        <v>0</v>
      </c>
      <c r="J70" s="22">
        <f>ROUND((AP70+AQ70+AR70+AS70+AT70)/C70,2)</f>
        <v>0</v>
      </c>
      <c r="K70" s="22">
        <f>ROUND((AW70+AX70)/C70,2)</f>
        <v>0</v>
      </c>
      <c r="L70" s="23">
        <f>ROUND(BB70/C70,2)</f>
        <v>0</v>
      </c>
      <c r="M70" s="23">
        <f>ROUND(BC70/C70,2)</f>
        <v>18</v>
      </c>
      <c r="N70" s="23">
        <f>ROUND(BD70/C70,2)</f>
        <v>0</v>
      </c>
      <c r="O70" s="22">
        <f>N70+M70+L70+K70+J70+I70+H70+G70</f>
        <v>2603.7999999999997</v>
      </c>
      <c r="P70" s="22">
        <f>ROUND((X70+Y70+Z70)/C70,2)</f>
        <v>0</v>
      </c>
      <c r="Q70" s="22">
        <f>ROUND(AU70/C70,2)</f>
        <v>0</v>
      </c>
      <c r="R70" s="39">
        <f>O70+P70+Q70</f>
        <v>2603.7999999999997</v>
      </c>
      <c r="S70" s="649"/>
      <c r="T70" s="224">
        <f>T68+T69</f>
        <v>28190</v>
      </c>
      <c r="U70" s="224">
        <f>U68+U69</f>
        <v>9662</v>
      </c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>
        <v>935</v>
      </c>
      <c r="AG70" s="224"/>
      <c r="AH70" s="224"/>
      <c r="AI70" s="224">
        <f>AI68+AI69</f>
        <v>935</v>
      </c>
      <c r="AJ70" s="224"/>
      <c r="AK70" s="224"/>
      <c r="AL70" s="224"/>
      <c r="AM70" s="224"/>
      <c r="AN70" s="224"/>
      <c r="AO70" s="649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>
        <v>270</v>
      </c>
      <c r="BD70" s="369"/>
      <c r="BE70" s="224">
        <f>T70+U70+V70+W70+X70+Y70+Z70+AI70+AJ70+AK70+AL70+AM70+AP70+AQ70+AR70+AS70+AT70+AU70+AV70+AW70+AX70+AY70+AZ70+BA70+BB70+BC70+BD70</f>
        <v>39057</v>
      </c>
      <c r="BF70" s="70">
        <f>ROUND(BE70/C70,2)</f>
        <v>2603.8000000000002</v>
      </c>
      <c r="BG70" s="326">
        <f t="shared" ref="BG70:BM70" si="113">BG68+BG69</f>
        <v>28190</v>
      </c>
      <c r="BH70" s="601">
        <f t="shared" si="113"/>
        <v>9662</v>
      </c>
      <c r="BI70" s="326">
        <f t="shared" si="113"/>
        <v>0</v>
      </c>
      <c r="BJ70" s="326">
        <f t="shared" si="113"/>
        <v>270</v>
      </c>
      <c r="BK70" s="368">
        <f>BB70</f>
        <v>0</v>
      </c>
      <c r="BL70" s="326">
        <f t="shared" si="113"/>
        <v>935</v>
      </c>
      <c r="BM70" s="326">
        <f t="shared" si="113"/>
        <v>39057</v>
      </c>
      <c r="BN70" s="652"/>
      <c r="BO70" s="333"/>
      <c r="BP70" s="333"/>
      <c r="BQ70" s="333"/>
      <c r="BR70" s="333"/>
    </row>
    <row r="71" spans="1:72" ht="61.5" customHeight="1">
      <c r="A71" s="83" t="s">
        <v>147</v>
      </c>
      <c r="B71" s="9" t="s">
        <v>89</v>
      </c>
      <c r="C71" s="313">
        <v>450</v>
      </c>
      <c r="D71" s="851" t="s">
        <v>87</v>
      </c>
      <c r="E71" s="8">
        <f>ROUND((T71+U71)/C71,3)</f>
        <v>531.35299999999995</v>
      </c>
      <c r="F71" s="8">
        <f t="shared" si="61"/>
        <v>0</v>
      </c>
      <c r="G71" s="8">
        <f t="shared" si="23"/>
        <v>531.35299999999995</v>
      </c>
      <c r="H71" s="8">
        <f>ROUND(AI71/C71,3)</f>
        <v>174.971</v>
      </c>
      <c r="I71" s="8">
        <f t="shared" si="62"/>
        <v>0</v>
      </c>
      <c r="J71" s="8">
        <f t="shared" si="63"/>
        <v>0</v>
      </c>
      <c r="K71" s="8">
        <f t="shared" si="64"/>
        <v>0</v>
      </c>
      <c r="L71" s="11">
        <f t="shared" si="65"/>
        <v>0</v>
      </c>
      <c r="M71" s="11">
        <f>ROUND(BC71/C71,3)</f>
        <v>18</v>
      </c>
      <c r="N71" s="11">
        <f t="shared" si="67"/>
        <v>0</v>
      </c>
      <c r="O71" s="8">
        <f t="shared" si="24"/>
        <v>724.32399999999996</v>
      </c>
      <c r="P71" s="8">
        <f t="shared" si="68"/>
        <v>0</v>
      </c>
      <c r="Q71" s="8">
        <f t="shared" si="69"/>
        <v>0</v>
      </c>
      <c r="R71" s="40">
        <f t="shared" si="22"/>
        <v>724.32399999999996</v>
      </c>
      <c r="S71" s="851" t="s">
        <v>87</v>
      </c>
      <c r="T71" s="15">
        <v>181147</v>
      </c>
      <c r="U71" s="15">
        <v>57962</v>
      </c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>
        <f>ROUND(AF73/C73*C71,0)+25820</f>
        <v>78737</v>
      </c>
      <c r="AG71" s="15"/>
      <c r="AH71" s="15"/>
      <c r="AI71" s="15">
        <f>AA71+AB71+AC71+AD71+AE71+AF71+AH71+AG71</f>
        <v>78737</v>
      </c>
      <c r="AJ71" s="15"/>
      <c r="AK71" s="15"/>
      <c r="AL71" s="15"/>
      <c r="AM71" s="15"/>
      <c r="AN71" s="15"/>
      <c r="AO71" s="854" t="s">
        <v>87</v>
      </c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>
        <f>ROUND(BC73/C73*C71,0)</f>
        <v>8100</v>
      </c>
      <c r="BD71" s="299"/>
      <c r="BE71" s="15">
        <f t="shared" si="80"/>
        <v>325946</v>
      </c>
      <c r="BF71" s="70">
        <f t="shared" si="76"/>
        <v>724.32</v>
      </c>
      <c r="BG71" s="222">
        <f>T71+V71</f>
        <v>181147</v>
      </c>
      <c r="BH71" s="222">
        <f>U71+W71</f>
        <v>57962</v>
      </c>
      <c r="BI71" s="222">
        <f>X71+Y71+Z71</f>
        <v>0</v>
      </c>
      <c r="BJ71" s="222">
        <f>BC71</f>
        <v>8100</v>
      </c>
      <c r="BK71" s="222">
        <f>BB71</f>
        <v>0</v>
      </c>
      <c r="BL71" s="222">
        <f>AA71+AB71+AC71+AD71+AE71+AF71+AG71+AH71+AJ71+AK71+AL71+AM71+AN71+AP71+AQ71+AR71+AS71+AT71+AU71+AV71+AW71+AX71+AY71+AZ71+BA71+BD71</f>
        <v>78737</v>
      </c>
      <c r="BM71" s="222">
        <f>BG71+BH71+BI71+BJ71+BL71</f>
        <v>325946</v>
      </c>
      <c r="BN71" s="965" t="s">
        <v>87</v>
      </c>
    </row>
    <row r="72" spans="1:72" ht="60" customHeight="1">
      <c r="A72" s="362" t="s">
        <v>359</v>
      </c>
      <c r="B72" s="435" t="s">
        <v>101</v>
      </c>
      <c r="C72" s="313">
        <v>2600</v>
      </c>
      <c r="D72" s="660"/>
      <c r="E72" s="8">
        <f t="shared" si="74"/>
        <v>530.58000000000004</v>
      </c>
      <c r="F72" s="8">
        <f t="shared" si="61"/>
        <v>0</v>
      </c>
      <c r="G72" s="8">
        <f t="shared" si="23"/>
        <v>530.58000000000004</v>
      </c>
      <c r="H72" s="8">
        <f t="shared" si="75"/>
        <v>107.66</v>
      </c>
      <c r="I72" s="8">
        <f t="shared" si="62"/>
        <v>0</v>
      </c>
      <c r="J72" s="8">
        <f t="shared" si="63"/>
        <v>0</v>
      </c>
      <c r="K72" s="8">
        <f t="shared" si="64"/>
        <v>0</v>
      </c>
      <c r="L72" s="11">
        <f t="shared" si="65"/>
        <v>0</v>
      </c>
      <c r="M72" s="11">
        <f t="shared" si="66"/>
        <v>18</v>
      </c>
      <c r="N72" s="11">
        <f t="shared" si="67"/>
        <v>0</v>
      </c>
      <c r="O72" s="8">
        <f t="shared" si="24"/>
        <v>656.24</v>
      </c>
      <c r="P72" s="8">
        <f t="shared" si="68"/>
        <v>0</v>
      </c>
      <c r="Q72" s="8">
        <f t="shared" si="69"/>
        <v>0</v>
      </c>
      <c r="R72" s="40">
        <f t="shared" si="22"/>
        <v>656.24</v>
      </c>
      <c r="S72" s="660"/>
      <c r="T72" s="15">
        <v>1045082</v>
      </c>
      <c r="U72" s="15">
        <f>ROUND(T72*0.32,0)</f>
        <v>334426</v>
      </c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>
        <f>AF73-AF71</f>
        <v>279924</v>
      </c>
      <c r="AG72" s="15"/>
      <c r="AH72" s="15"/>
      <c r="AI72" s="15">
        <f>AA72+AB72+AC72+AD72+AE72+AF72+AH72+AG72</f>
        <v>279924</v>
      </c>
      <c r="AJ72" s="15"/>
      <c r="AK72" s="15"/>
      <c r="AL72" s="15"/>
      <c r="AM72" s="15"/>
      <c r="AN72" s="15"/>
      <c r="AO72" s="899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>
        <f>BC73-BC71</f>
        <v>46800</v>
      </c>
      <c r="BD72" s="299"/>
      <c r="BE72" s="15">
        <f t="shared" si="80"/>
        <v>1706232</v>
      </c>
      <c r="BF72" s="70">
        <f t="shared" si="76"/>
        <v>656.24</v>
      </c>
      <c r="BG72" s="222">
        <f>T72+V72</f>
        <v>1045082</v>
      </c>
      <c r="BH72" s="222">
        <f>U72+W72</f>
        <v>334426</v>
      </c>
      <c r="BI72" s="222">
        <f>X72+Y72+Z72</f>
        <v>0</v>
      </c>
      <c r="BJ72" s="222">
        <f>BC72</f>
        <v>46800</v>
      </c>
      <c r="BK72" s="222">
        <f t="shared" si="82"/>
        <v>0</v>
      </c>
      <c r="BL72" s="222">
        <f>AA72+AB72+AC72+AD72+AE72+AF72+AG72+AH72+AJ72+AK72+AL72+AM72+AN72+AP72+AQ72+AR72+AS72+AT72+AU72+AV72+AW72+AX72+AY72+AZ72+BA72+BD72</f>
        <v>279924</v>
      </c>
      <c r="BM72" s="222">
        <f>BG72+BH72+BI72+BJ72+BL72</f>
        <v>1706232</v>
      </c>
      <c r="BN72" s="1003"/>
    </row>
    <row r="73" spans="1:72" s="98" customFormat="1" ht="18.75" customHeight="1">
      <c r="A73" s="13" t="s">
        <v>42</v>
      </c>
      <c r="B73" s="402"/>
      <c r="C73" s="315">
        <f>C71+C72</f>
        <v>3050</v>
      </c>
      <c r="D73" s="649"/>
      <c r="E73" s="22">
        <f t="shared" si="74"/>
        <v>530.69000000000005</v>
      </c>
      <c r="F73" s="22">
        <f t="shared" si="61"/>
        <v>0</v>
      </c>
      <c r="G73" s="22">
        <f t="shared" si="23"/>
        <v>530.69000000000005</v>
      </c>
      <c r="H73" s="22">
        <f t="shared" si="75"/>
        <v>117.59</v>
      </c>
      <c r="I73" s="22">
        <f t="shared" si="62"/>
        <v>0</v>
      </c>
      <c r="J73" s="22">
        <f t="shared" si="63"/>
        <v>0</v>
      </c>
      <c r="K73" s="22">
        <f t="shared" si="64"/>
        <v>0</v>
      </c>
      <c r="L73" s="23">
        <f t="shared" si="65"/>
        <v>0</v>
      </c>
      <c r="M73" s="23">
        <f t="shared" si="66"/>
        <v>18</v>
      </c>
      <c r="N73" s="23">
        <f t="shared" si="67"/>
        <v>0</v>
      </c>
      <c r="O73" s="22">
        <f t="shared" si="24"/>
        <v>666.28000000000009</v>
      </c>
      <c r="P73" s="22">
        <f t="shared" si="68"/>
        <v>0</v>
      </c>
      <c r="Q73" s="22">
        <f t="shared" si="69"/>
        <v>0</v>
      </c>
      <c r="R73" s="39">
        <f t="shared" si="22"/>
        <v>666.28000000000009</v>
      </c>
      <c r="S73" s="649"/>
      <c r="T73" s="224">
        <f>T71+T72</f>
        <v>1226229</v>
      </c>
      <c r="U73" s="224">
        <f t="shared" ref="U73:AH73" si="114">U71+U72</f>
        <v>392388</v>
      </c>
      <c r="V73" s="224">
        <f t="shared" si="114"/>
        <v>0</v>
      </c>
      <c r="W73" s="224">
        <f t="shared" si="114"/>
        <v>0</v>
      </c>
      <c r="X73" s="224">
        <f t="shared" si="114"/>
        <v>0</v>
      </c>
      <c r="Y73" s="224">
        <f t="shared" si="114"/>
        <v>0</v>
      </c>
      <c r="Z73" s="224">
        <f t="shared" si="114"/>
        <v>0</v>
      </c>
      <c r="AA73" s="224">
        <f t="shared" si="114"/>
        <v>0</v>
      </c>
      <c r="AB73" s="224">
        <f t="shared" si="114"/>
        <v>0</v>
      </c>
      <c r="AC73" s="224">
        <f t="shared" si="114"/>
        <v>0</v>
      </c>
      <c r="AD73" s="224">
        <f t="shared" si="114"/>
        <v>0</v>
      </c>
      <c r="AE73" s="224">
        <f t="shared" si="114"/>
        <v>0</v>
      </c>
      <c r="AF73" s="224">
        <v>358661</v>
      </c>
      <c r="AG73" s="224">
        <f t="shared" si="114"/>
        <v>0</v>
      </c>
      <c r="AH73" s="224">
        <f t="shared" si="114"/>
        <v>0</v>
      </c>
      <c r="AI73" s="224">
        <f t="shared" ref="AI73:AN73" si="115">AI71+AI72</f>
        <v>358661</v>
      </c>
      <c r="AJ73" s="224">
        <f t="shared" si="115"/>
        <v>0</v>
      </c>
      <c r="AK73" s="224">
        <f t="shared" si="115"/>
        <v>0</v>
      </c>
      <c r="AL73" s="224">
        <f t="shared" si="115"/>
        <v>0</v>
      </c>
      <c r="AM73" s="224">
        <f t="shared" si="115"/>
        <v>0</v>
      </c>
      <c r="AN73" s="224">
        <f t="shared" si="115"/>
        <v>0</v>
      </c>
      <c r="AO73" s="905"/>
      <c r="AP73" s="224">
        <f t="shared" ref="AP73:BD73" si="116">AP71+AP72</f>
        <v>0</v>
      </c>
      <c r="AQ73" s="224">
        <f t="shared" si="116"/>
        <v>0</v>
      </c>
      <c r="AR73" s="224">
        <f t="shared" si="116"/>
        <v>0</v>
      </c>
      <c r="AS73" s="224">
        <f t="shared" si="116"/>
        <v>0</v>
      </c>
      <c r="AT73" s="224">
        <f t="shared" si="116"/>
        <v>0</v>
      </c>
      <c r="AU73" s="224">
        <f t="shared" si="116"/>
        <v>0</v>
      </c>
      <c r="AV73" s="224">
        <f t="shared" si="116"/>
        <v>0</v>
      </c>
      <c r="AW73" s="224">
        <f t="shared" si="116"/>
        <v>0</v>
      </c>
      <c r="AX73" s="224">
        <f t="shared" si="116"/>
        <v>0</v>
      </c>
      <c r="AY73" s="224">
        <f t="shared" si="116"/>
        <v>0</v>
      </c>
      <c r="AZ73" s="224">
        <f t="shared" si="116"/>
        <v>0</v>
      </c>
      <c r="BA73" s="224">
        <f t="shared" si="116"/>
        <v>0</v>
      </c>
      <c r="BB73" s="224">
        <f t="shared" si="116"/>
        <v>0</v>
      </c>
      <c r="BC73" s="224">
        <v>54900</v>
      </c>
      <c r="BD73" s="224">
        <f t="shared" si="116"/>
        <v>0</v>
      </c>
      <c r="BE73" s="224">
        <f t="shared" si="80"/>
        <v>2032178</v>
      </c>
      <c r="BF73" s="70">
        <f t="shared" si="76"/>
        <v>666.29</v>
      </c>
      <c r="BG73" s="326">
        <f t="shared" ref="BG73:BM73" si="117">BG71+BG72</f>
        <v>1226229</v>
      </c>
      <c r="BH73" s="601">
        <f t="shared" si="117"/>
        <v>392388</v>
      </c>
      <c r="BI73" s="326">
        <f t="shared" si="117"/>
        <v>0</v>
      </c>
      <c r="BJ73" s="326">
        <f t="shared" si="117"/>
        <v>54900</v>
      </c>
      <c r="BK73" s="368">
        <f t="shared" si="82"/>
        <v>0</v>
      </c>
      <c r="BL73" s="326">
        <f t="shared" si="117"/>
        <v>358661</v>
      </c>
      <c r="BM73" s="326">
        <f t="shared" si="117"/>
        <v>2032178</v>
      </c>
      <c r="BN73" s="1003"/>
      <c r="BO73" s="333"/>
      <c r="BP73" s="333"/>
      <c r="BQ73" s="333"/>
      <c r="BR73" s="333"/>
    </row>
    <row r="74" spans="1:72" s="147" customFormat="1" ht="65.25" customHeight="1">
      <c r="A74" s="144" t="s">
        <v>147</v>
      </c>
      <c r="B74" s="9" t="s">
        <v>89</v>
      </c>
      <c r="C74" s="313">
        <v>3500</v>
      </c>
      <c r="D74" s="851" t="s">
        <v>93</v>
      </c>
      <c r="E74" s="145">
        <f>ROUND((T74+U74)/C74,3)</f>
        <v>7448.674</v>
      </c>
      <c r="F74" s="145">
        <f>ROUND((V74+W74)/C74,3)</f>
        <v>691.85599999999999</v>
      </c>
      <c r="G74" s="145">
        <f t="shared" si="23"/>
        <v>8140.53</v>
      </c>
      <c r="H74" s="145">
        <f>ROUND(AI74/C74,3)</f>
        <v>113.71</v>
      </c>
      <c r="I74" s="145">
        <f t="shared" si="62"/>
        <v>0</v>
      </c>
      <c r="J74" s="145">
        <f t="shared" si="63"/>
        <v>0</v>
      </c>
      <c r="K74" s="145">
        <f t="shared" si="64"/>
        <v>0</v>
      </c>
      <c r="L74" s="146">
        <f t="shared" si="65"/>
        <v>0</v>
      </c>
      <c r="M74" s="146">
        <f>ROUND(BC74/C74,3)</f>
        <v>37.125</v>
      </c>
      <c r="N74" s="146">
        <f t="shared" si="67"/>
        <v>0</v>
      </c>
      <c r="O74" s="145">
        <f t="shared" si="24"/>
        <v>8291.3649999999998</v>
      </c>
      <c r="P74" s="145">
        <f t="shared" si="68"/>
        <v>0</v>
      </c>
      <c r="Q74" s="145">
        <f t="shared" si="69"/>
        <v>0</v>
      </c>
      <c r="R74" s="40">
        <f t="shared" si="22"/>
        <v>8291.3649999999998</v>
      </c>
      <c r="S74" s="851" t="s">
        <v>93</v>
      </c>
      <c r="T74" s="295">
        <f>19920218.08+103100</f>
        <v>20023318.079999998</v>
      </c>
      <c r="U74" s="295">
        <v>6047042</v>
      </c>
      <c r="V74" s="295">
        <f>1481062+378792</f>
        <v>1859854</v>
      </c>
      <c r="W74" s="295">
        <f>561677.08-36</f>
        <v>561641.07999999996</v>
      </c>
      <c r="X74" s="295"/>
      <c r="Y74" s="295"/>
      <c r="Z74" s="295"/>
      <c r="AA74" s="295"/>
      <c r="AB74" s="295">
        <v>44887</v>
      </c>
      <c r="AC74" s="295"/>
      <c r="AD74" s="295"/>
      <c r="AE74" s="295"/>
      <c r="AF74" s="295">
        <f>352574+525.43</f>
        <v>353099.43</v>
      </c>
      <c r="AG74" s="295"/>
      <c r="AH74" s="295"/>
      <c r="AI74" s="295">
        <f>AA74+AB74+AC74+AD74+AE74+AF74+AH74+AG74</f>
        <v>397986.43</v>
      </c>
      <c r="AJ74" s="295"/>
      <c r="AK74" s="295"/>
      <c r="AL74" s="295"/>
      <c r="AM74" s="295"/>
      <c r="AN74" s="295"/>
      <c r="AO74" s="854" t="s">
        <v>93</v>
      </c>
      <c r="AP74" s="295"/>
      <c r="AQ74" s="295"/>
      <c r="AR74" s="295"/>
      <c r="AS74" s="295"/>
      <c r="AT74" s="295"/>
      <c r="AU74" s="295"/>
      <c r="AV74" s="295"/>
      <c r="AW74" s="295"/>
      <c r="AX74" s="295"/>
      <c r="AY74" s="295"/>
      <c r="AZ74" s="295"/>
      <c r="BA74" s="295"/>
      <c r="BB74" s="295"/>
      <c r="BC74" s="295">
        <v>129937</v>
      </c>
      <c r="BD74" s="295"/>
      <c r="BE74" s="295">
        <f t="shared" si="80"/>
        <v>29019778.589999996</v>
      </c>
      <c r="BF74" s="70">
        <f t="shared" si="76"/>
        <v>8291.3700000000008</v>
      </c>
      <c r="BG74" s="222">
        <f>T74+V74</f>
        <v>21883172.079999998</v>
      </c>
      <c r="BH74" s="223">
        <f>U74+W74</f>
        <v>6608683.0800000001</v>
      </c>
      <c r="BI74" s="223">
        <f>X74+Y74+Z74</f>
        <v>0</v>
      </c>
      <c r="BJ74" s="223">
        <f>BC74</f>
        <v>129937</v>
      </c>
      <c r="BK74" s="222">
        <f t="shared" si="82"/>
        <v>0</v>
      </c>
      <c r="BL74" s="223">
        <f>AA74+AB74+AC74+AD74+AE74+AF74+AG74+AH74+AJ74+AK74+AL74+AM74+AN74+AP74+AQ74+AR74+AS74+AT74+AU74+AV74+AW74+AX74+AY74+AZ74+BA74+BD74</f>
        <v>397986.43</v>
      </c>
      <c r="BM74" s="223">
        <f>BG74+BH74+BI74+BJ74+BL74</f>
        <v>29019778.589999996</v>
      </c>
      <c r="BN74" s="965" t="s">
        <v>93</v>
      </c>
      <c r="BO74" s="329"/>
      <c r="BP74" s="329"/>
      <c r="BQ74" s="329"/>
      <c r="BR74" s="329"/>
      <c r="BS74" s="317"/>
      <c r="BT74" s="317"/>
    </row>
    <row r="75" spans="1:72" s="147" customFormat="1" ht="62.25" hidden="1" customHeight="1">
      <c r="A75" s="144" t="s">
        <v>148</v>
      </c>
      <c r="B75" s="435" t="s">
        <v>101</v>
      </c>
      <c r="C75" s="313">
        <v>0</v>
      </c>
      <c r="D75" s="957"/>
      <c r="E75" s="145" t="e">
        <f t="shared" si="74"/>
        <v>#DIV/0!</v>
      </c>
      <c r="F75" s="145" t="e">
        <f t="shared" si="61"/>
        <v>#DIV/0!</v>
      </c>
      <c r="G75" s="145" t="e">
        <f t="shared" si="23"/>
        <v>#DIV/0!</v>
      </c>
      <c r="H75" s="145" t="e">
        <f t="shared" si="75"/>
        <v>#DIV/0!</v>
      </c>
      <c r="I75" s="145" t="e">
        <f t="shared" si="62"/>
        <v>#DIV/0!</v>
      </c>
      <c r="J75" s="145" t="e">
        <f t="shared" si="63"/>
        <v>#DIV/0!</v>
      </c>
      <c r="K75" s="145" t="e">
        <f t="shared" si="64"/>
        <v>#DIV/0!</v>
      </c>
      <c r="L75" s="146" t="e">
        <f t="shared" si="65"/>
        <v>#DIV/0!</v>
      </c>
      <c r="M75" s="146" t="e">
        <f t="shared" si="66"/>
        <v>#DIV/0!</v>
      </c>
      <c r="N75" s="146" t="e">
        <f t="shared" si="67"/>
        <v>#DIV/0!</v>
      </c>
      <c r="O75" s="145" t="e">
        <f t="shared" si="24"/>
        <v>#DIV/0!</v>
      </c>
      <c r="P75" s="145" t="e">
        <f t="shared" si="68"/>
        <v>#DIV/0!</v>
      </c>
      <c r="Q75" s="145" t="e">
        <f t="shared" si="69"/>
        <v>#DIV/0!</v>
      </c>
      <c r="R75" s="40" t="e">
        <f t="shared" si="22"/>
        <v>#DIV/0!</v>
      </c>
      <c r="S75" s="957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5"/>
      <c r="AH75" s="295"/>
      <c r="AI75" s="295">
        <f>AA75+AB75+AC75+AD75+AE75+AF75+AH75+AG75</f>
        <v>0</v>
      </c>
      <c r="AJ75" s="295"/>
      <c r="AK75" s="295"/>
      <c r="AL75" s="295"/>
      <c r="AM75" s="295"/>
      <c r="AN75" s="295"/>
      <c r="AO75" s="969"/>
      <c r="AP75" s="295"/>
      <c r="AQ75" s="295"/>
      <c r="AR75" s="295"/>
      <c r="AS75" s="295"/>
      <c r="AT75" s="295"/>
      <c r="AU75" s="295"/>
      <c r="AV75" s="295"/>
      <c r="AW75" s="295"/>
      <c r="AX75" s="295"/>
      <c r="AY75" s="295"/>
      <c r="AZ75" s="295"/>
      <c r="BA75" s="295"/>
      <c r="BB75" s="295"/>
      <c r="BC75" s="295">
        <v>0</v>
      </c>
      <c r="BD75" s="300"/>
      <c r="BE75" s="295">
        <f t="shared" si="80"/>
        <v>0</v>
      </c>
      <c r="BF75" s="70" t="e">
        <f t="shared" si="76"/>
        <v>#DIV/0!</v>
      </c>
      <c r="BG75" s="222">
        <f>T75+V75</f>
        <v>0</v>
      </c>
      <c r="BH75" s="223">
        <f>U75+W75</f>
        <v>0</v>
      </c>
      <c r="BI75" s="223">
        <f>X75+Y75+Z75</f>
        <v>0</v>
      </c>
      <c r="BJ75" s="223">
        <f>BC75</f>
        <v>0</v>
      </c>
      <c r="BK75" s="223"/>
      <c r="BL75" s="223">
        <f>AA75+AB75+AC75+AD75+AE75+AF75+AG75+AH75+AJ75+AK75+AL75+AM75+AN75+AP75+AQ75+AR75+AS75+AT75+AU75+AV75+AW75+AX75+AY75+AZ75+BA75+BD75</f>
        <v>0</v>
      </c>
      <c r="BM75" s="223">
        <f>BG75+BH75+BI75+BJ75+BL75</f>
        <v>0</v>
      </c>
      <c r="BN75" s="965"/>
      <c r="BO75" s="328"/>
      <c r="BP75" s="328"/>
      <c r="BQ75" s="328"/>
      <c r="BR75" s="328"/>
    </row>
    <row r="76" spans="1:72" s="151" customFormat="1" ht="20.25" customHeight="1">
      <c r="A76" s="148" t="s">
        <v>42</v>
      </c>
      <c r="B76" s="403"/>
      <c r="C76" s="315">
        <f>C74+C75</f>
        <v>3500</v>
      </c>
      <c r="D76" s="958"/>
      <c r="E76" s="149">
        <f>ROUND((T76+U76)/C76,3)</f>
        <v>7448.674</v>
      </c>
      <c r="F76" s="149">
        <f>ROUND((V76+W76)/C76,3)</f>
        <v>691.85599999999999</v>
      </c>
      <c r="G76" s="149">
        <f t="shared" si="23"/>
        <v>8140.53</v>
      </c>
      <c r="H76" s="149">
        <f>ROUND(AI76/C76,3)</f>
        <v>113.71</v>
      </c>
      <c r="I76" s="149">
        <f t="shared" si="62"/>
        <v>0</v>
      </c>
      <c r="J76" s="149">
        <f t="shared" si="63"/>
        <v>0</v>
      </c>
      <c r="K76" s="149">
        <f t="shared" si="64"/>
        <v>0</v>
      </c>
      <c r="L76" s="150">
        <f t="shared" si="65"/>
        <v>0</v>
      </c>
      <c r="M76" s="150">
        <f>ROUND(BC76/C76,3)</f>
        <v>37.125</v>
      </c>
      <c r="N76" s="150">
        <f t="shared" si="67"/>
        <v>0</v>
      </c>
      <c r="O76" s="149">
        <f t="shared" si="24"/>
        <v>8291.3649999999998</v>
      </c>
      <c r="P76" s="149">
        <f t="shared" si="68"/>
        <v>0</v>
      </c>
      <c r="Q76" s="149">
        <f t="shared" si="69"/>
        <v>0</v>
      </c>
      <c r="R76" s="39">
        <f t="shared" si="22"/>
        <v>8291.3649999999998</v>
      </c>
      <c r="S76" s="958"/>
      <c r="T76" s="224">
        <f>T74+T75</f>
        <v>20023318.079999998</v>
      </c>
      <c r="U76" s="301">
        <f t="shared" ref="U76:AH76" si="118">U74+U75</f>
        <v>6047042</v>
      </c>
      <c r="V76" s="301">
        <f t="shared" si="118"/>
        <v>1859854</v>
      </c>
      <c r="W76" s="301">
        <f t="shared" si="118"/>
        <v>561641.07999999996</v>
      </c>
      <c r="X76" s="301">
        <f t="shared" si="118"/>
        <v>0</v>
      </c>
      <c r="Y76" s="301">
        <f t="shared" si="118"/>
        <v>0</v>
      </c>
      <c r="Z76" s="301">
        <f t="shared" si="118"/>
        <v>0</v>
      </c>
      <c r="AA76" s="301">
        <f t="shared" si="118"/>
        <v>0</v>
      </c>
      <c r="AB76" s="301">
        <f t="shared" si="118"/>
        <v>44887</v>
      </c>
      <c r="AC76" s="301">
        <f t="shared" si="118"/>
        <v>0</v>
      </c>
      <c r="AD76" s="301">
        <f t="shared" si="118"/>
        <v>0</v>
      </c>
      <c r="AE76" s="301">
        <f t="shared" si="118"/>
        <v>0</v>
      </c>
      <c r="AF76" s="301">
        <f t="shared" si="118"/>
        <v>353099.43</v>
      </c>
      <c r="AG76" s="301">
        <f t="shared" si="118"/>
        <v>0</v>
      </c>
      <c r="AH76" s="301">
        <f t="shared" si="118"/>
        <v>0</v>
      </c>
      <c r="AI76" s="301">
        <f t="shared" ref="AI76:AN76" si="119">AI74+AI75</f>
        <v>397986.43</v>
      </c>
      <c r="AJ76" s="301">
        <f t="shared" si="119"/>
        <v>0</v>
      </c>
      <c r="AK76" s="301">
        <f t="shared" si="119"/>
        <v>0</v>
      </c>
      <c r="AL76" s="301">
        <f t="shared" si="119"/>
        <v>0</v>
      </c>
      <c r="AM76" s="301">
        <f t="shared" si="119"/>
        <v>0</v>
      </c>
      <c r="AN76" s="301">
        <f t="shared" si="119"/>
        <v>0</v>
      </c>
      <c r="AO76" s="970"/>
      <c r="AP76" s="301">
        <f t="shared" ref="AP76:BD76" si="120">AP74+AP75</f>
        <v>0</v>
      </c>
      <c r="AQ76" s="301">
        <f t="shared" si="120"/>
        <v>0</v>
      </c>
      <c r="AR76" s="301">
        <f t="shared" si="120"/>
        <v>0</v>
      </c>
      <c r="AS76" s="301">
        <f t="shared" si="120"/>
        <v>0</v>
      </c>
      <c r="AT76" s="301">
        <f t="shared" si="120"/>
        <v>0</v>
      </c>
      <c r="AU76" s="301">
        <f t="shared" si="120"/>
        <v>0</v>
      </c>
      <c r="AV76" s="301">
        <f t="shared" si="120"/>
        <v>0</v>
      </c>
      <c r="AW76" s="301">
        <f t="shared" si="120"/>
        <v>0</v>
      </c>
      <c r="AX76" s="301">
        <f t="shared" si="120"/>
        <v>0</v>
      </c>
      <c r="AY76" s="301">
        <f t="shared" si="120"/>
        <v>0</v>
      </c>
      <c r="AZ76" s="301">
        <f t="shared" si="120"/>
        <v>0</v>
      </c>
      <c r="BA76" s="301">
        <f t="shared" si="120"/>
        <v>0</v>
      </c>
      <c r="BB76" s="301">
        <f t="shared" si="120"/>
        <v>0</v>
      </c>
      <c r="BC76" s="301">
        <f t="shared" si="120"/>
        <v>129937</v>
      </c>
      <c r="BD76" s="301">
        <f t="shared" si="120"/>
        <v>0</v>
      </c>
      <c r="BE76" s="301">
        <f t="shared" si="80"/>
        <v>29019778.589999996</v>
      </c>
      <c r="BF76" s="70">
        <f t="shared" si="76"/>
        <v>8291.3700000000008</v>
      </c>
      <c r="BG76" s="326">
        <f t="shared" ref="BG76:BM76" si="121">BG74+BG75</f>
        <v>21883172.079999998</v>
      </c>
      <c r="BH76" s="326">
        <f t="shared" si="121"/>
        <v>6608683.0800000001</v>
      </c>
      <c r="BI76" s="326">
        <f t="shared" si="121"/>
        <v>0</v>
      </c>
      <c r="BJ76" s="326">
        <f t="shared" si="121"/>
        <v>129937</v>
      </c>
      <c r="BK76" s="326">
        <f t="shared" si="121"/>
        <v>0</v>
      </c>
      <c r="BL76" s="326">
        <f t="shared" si="121"/>
        <v>397986.43</v>
      </c>
      <c r="BM76" s="326">
        <f t="shared" si="121"/>
        <v>29019778.589999996</v>
      </c>
      <c r="BN76" s="965"/>
      <c r="BO76" s="333"/>
      <c r="BP76" s="333"/>
      <c r="BQ76" s="333"/>
      <c r="BR76" s="333"/>
    </row>
    <row r="77" spans="1:72" s="147" customFormat="1" ht="70.5" customHeight="1">
      <c r="A77" s="144" t="s">
        <v>147</v>
      </c>
      <c r="B77" s="9" t="s">
        <v>89</v>
      </c>
      <c r="C77" s="313">
        <v>560</v>
      </c>
      <c r="D77" s="851" t="s">
        <v>151</v>
      </c>
      <c r="E77" s="145">
        <f t="shared" si="74"/>
        <v>12358.11</v>
      </c>
      <c r="F77" s="145">
        <f t="shared" si="61"/>
        <v>0</v>
      </c>
      <c r="G77" s="145">
        <f t="shared" si="23"/>
        <v>12358.11</v>
      </c>
      <c r="H77" s="145">
        <f t="shared" si="75"/>
        <v>197.68</v>
      </c>
      <c r="I77" s="145">
        <f t="shared" si="62"/>
        <v>0</v>
      </c>
      <c r="J77" s="145">
        <f t="shared" si="63"/>
        <v>0</v>
      </c>
      <c r="K77" s="145">
        <f t="shared" si="64"/>
        <v>0</v>
      </c>
      <c r="L77" s="146">
        <f t="shared" si="65"/>
        <v>0</v>
      </c>
      <c r="M77" s="146">
        <f t="shared" si="66"/>
        <v>74.25</v>
      </c>
      <c r="N77" s="146">
        <f t="shared" si="67"/>
        <v>0</v>
      </c>
      <c r="O77" s="145">
        <f t="shared" si="24"/>
        <v>12630.04</v>
      </c>
      <c r="P77" s="145">
        <f t="shared" si="68"/>
        <v>0</v>
      </c>
      <c r="Q77" s="145">
        <f t="shared" si="69"/>
        <v>0</v>
      </c>
      <c r="R77" s="40">
        <f t="shared" si="22"/>
        <v>12630.04</v>
      </c>
      <c r="S77" s="959" t="s">
        <v>151</v>
      </c>
      <c r="T77" s="295">
        <v>5276343</v>
      </c>
      <c r="U77" s="295">
        <v>1644198</v>
      </c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>
        <v>110699</v>
      </c>
      <c r="AG77" s="295"/>
      <c r="AH77" s="295"/>
      <c r="AI77" s="295">
        <f>AA77+AB77+AC77+AD77+AE77+AF77+AH77+AG77</f>
        <v>110699</v>
      </c>
      <c r="AJ77" s="295"/>
      <c r="AK77" s="295"/>
      <c r="AL77" s="295"/>
      <c r="AM77" s="295"/>
      <c r="AN77" s="295"/>
      <c r="AO77" s="962" t="s">
        <v>276</v>
      </c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5">
        <v>41580</v>
      </c>
      <c r="BD77" s="300"/>
      <c r="BE77" s="295">
        <f t="shared" si="80"/>
        <v>7072820</v>
      </c>
      <c r="BF77" s="70">
        <f t="shared" si="76"/>
        <v>12630.04</v>
      </c>
      <c r="BG77" s="222">
        <f>T77+V77</f>
        <v>5276343</v>
      </c>
      <c r="BH77" s="223">
        <f>U77+W77</f>
        <v>1644198</v>
      </c>
      <c r="BI77" s="223">
        <f>X77+Y77+Z77</f>
        <v>0</v>
      </c>
      <c r="BJ77" s="223">
        <f>BC77</f>
        <v>41580</v>
      </c>
      <c r="BK77" s="222">
        <f>BB77</f>
        <v>0</v>
      </c>
      <c r="BL77" s="223">
        <f>AA77+AB77+AC77+AD77+AE77+AF77+AG77+AH77+AJ77+AK77+AL77+AM77+AN77+AP77+AQ77+AR77+AS77+AT77+AU77+AV77+AW77+AX77+AY77+AZ77+BA77+BD77</f>
        <v>110699</v>
      </c>
      <c r="BM77" s="223">
        <f>BG77+BH77+BI77+BJ77+BL77</f>
        <v>7072820</v>
      </c>
      <c r="BN77" s="966" t="s">
        <v>151</v>
      </c>
      <c r="BO77" s="328"/>
      <c r="BP77" s="328"/>
      <c r="BQ77" s="328"/>
      <c r="BR77" s="328"/>
    </row>
    <row r="78" spans="1:72" s="147" customFormat="1" ht="48" hidden="1" customHeight="1">
      <c r="A78" s="144" t="s">
        <v>148</v>
      </c>
      <c r="B78" s="435" t="s">
        <v>101</v>
      </c>
      <c r="C78" s="313">
        <v>0</v>
      </c>
      <c r="D78" s="957"/>
      <c r="E78" s="145" t="e">
        <f t="shared" ref="E78:E84" si="122">ROUND((T78+U78)/C78,2)</f>
        <v>#DIV/0!</v>
      </c>
      <c r="F78" s="145" t="e">
        <f>ROUND((V78+W78)/C78,2)</f>
        <v>#DIV/0!</v>
      </c>
      <c r="G78" s="145" t="e">
        <f t="shared" si="23"/>
        <v>#DIV/0!</v>
      </c>
      <c r="H78" s="145" t="e">
        <f t="shared" ref="H78:H84" si="123">ROUND(AI78/C78,2)</f>
        <v>#DIV/0!</v>
      </c>
      <c r="I78" s="145" t="e">
        <f t="shared" ref="I78:I85" si="124">ROUND((AJ78+AK78+AL78+AM78+AN78)/C78,2)</f>
        <v>#DIV/0!</v>
      </c>
      <c r="J78" s="145" t="e">
        <f t="shared" ref="J78:J85" si="125">ROUND((AP78+AQ78+AR78+AS78+AT78)/C78,2)</f>
        <v>#DIV/0!</v>
      </c>
      <c r="K78" s="145" t="e">
        <f t="shared" ref="K78:K85" si="126">ROUND((AW78+AX78)/C78,2)</f>
        <v>#DIV/0!</v>
      </c>
      <c r="L78" s="146" t="e">
        <f t="shared" ref="L78:L85" si="127">ROUND(BB78/C78,2)</f>
        <v>#DIV/0!</v>
      </c>
      <c r="M78" s="146" t="e">
        <f>ROUND(BC78/C78,2)</f>
        <v>#DIV/0!</v>
      </c>
      <c r="N78" s="146" t="e">
        <f t="shared" ref="N78:N85" si="128">ROUND(BD78/C78,2)</f>
        <v>#DIV/0!</v>
      </c>
      <c r="O78" s="145" t="e">
        <f t="shared" si="24"/>
        <v>#DIV/0!</v>
      </c>
      <c r="P78" s="145" t="e">
        <f t="shared" ref="P78:P84" si="129">ROUND((X78+Y78+Z78)/C78,2)</f>
        <v>#DIV/0!</v>
      </c>
      <c r="Q78" s="145" t="e">
        <f t="shared" ref="Q78:Q85" si="130">ROUND(AU78/C78,2)</f>
        <v>#DIV/0!</v>
      </c>
      <c r="R78" s="40" t="e">
        <f t="shared" si="22"/>
        <v>#DIV/0!</v>
      </c>
      <c r="S78" s="967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5"/>
      <c r="AH78" s="295"/>
      <c r="AI78" s="295">
        <f>AA78+AB78+AC78+AD78+AE78+AF78+AH78+AG78</f>
        <v>0</v>
      </c>
      <c r="AJ78" s="295"/>
      <c r="AK78" s="295"/>
      <c r="AL78" s="295"/>
      <c r="AM78" s="295"/>
      <c r="AN78" s="295"/>
      <c r="AO78" s="971"/>
      <c r="AP78" s="295"/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5"/>
      <c r="BC78" s="295">
        <v>0</v>
      </c>
      <c r="BD78" s="300"/>
      <c r="BE78" s="295">
        <f t="shared" si="80"/>
        <v>0</v>
      </c>
      <c r="BF78" s="70" t="e">
        <f t="shared" ref="BF78:BF85" si="131">ROUND(BE78/C78,2)</f>
        <v>#DIV/0!</v>
      </c>
      <c r="BG78" s="222">
        <f>T78+V78</f>
        <v>0</v>
      </c>
      <c r="BH78" s="223">
        <f>U78+W78</f>
        <v>0</v>
      </c>
      <c r="BI78" s="223">
        <f>X78+Y78+Z78</f>
        <v>0</v>
      </c>
      <c r="BJ78" s="223">
        <f>BC78</f>
        <v>0</v>
      </c>
      <c r="BK78" s="223"/>
      <c r="BL78" s="223">
        <f>AA78+AB78+AC78+AD78+AE78+AF78+AG78+AH78+AJ78+AK78+AL78+AM78+AN78+AP78+AQ78+AR78+AS78+AT78+AU78+AV78+AW78+AX78+AY78+AZ78+BA78+BD78</f>
        <v>0</v>
      </c>
      <c r="BM78" s="223">
        <f>BG78+BH78+BI78+BJ78+BL78</f>
        <v>0</v>
      </c>
      <c r="BN78" s="966"/>
      <c r="BO78" s="328"/>
      <c r="BP78" s="328"/>
      <c r="BQ78" s="328"/>
      <c r="BR78" s="328"/>
    </row>
    <row r="79" spans="1:72" s="151" customFormat="1" ht="43.5" customHeight="1">
      <c r="A79" s="148" t="s">
        <v>42</v>
      </c>
      <c r="B79" s="403"/>
      <c r="C79" s="315">
        <f>C77+C78</f>
        <v>560</v>
      </c>
      <c r="D79" s="958"/>
      <c r="E79" s="149">
        <f t="shared" si="122"/>
        <v>12358.11</v>
      </c>
      <c r="F79" s="149">
        <f>ROUND((V79+W79)/C79,2)</f>
        <v>0</v>
      </c>
      <c r="G79" s="149">
        <f t="shared" si="23"/>
        <v>12358.11</v>
      </c>
      <c r="H79" s="149">
        <f t="shared" si="123"/>
        <v>197.68</v>
      </c>
      <c r="I79" s="149">
        <f t="shared" si="124"/>
        <v>0</v>
      </c>
      <c r="J79" s="149">
        <f t="shared" si="125"/>
        <v>0</v>
      </c>
      <c r="K79" s="149">
        <f t="shared" si="126"/>
        <v>0</v>
      </c>
      <c r="L79" s="150">
        <f t="shared" si="127"/>
        <v>0</v>
      </c>
      <c r="M79" s="150">
        <f>ROUND(BC79/C79,2)</f>
        <v>74.25</v>
      </c>
      <c r="N79" s="150">
        <f t="shared" si="128"/>
        <v>0</v>
      </c>
      <c r="O79" s="149">
        <f t="shared" si="24"/>
        <v>12630.04</v>
      </c>
      <c r="P79" s="149">
        <f t="shared" si="129"/>
        <v>0</v>
      </c>
      <c r="Q79" s="149">
        <f t="shared" si="130"/>
        <v>0</v>
      </c>
      <c r="R79" s="39">
        <f t="shared" si="22"/>
        <v>12630.04</v>
      </c>
      <c r="S79" s="968"/>
      <c r="T79" s="224">
        <f>T77+T78</f>
        <v>5276343</v>
      </c>
      <c r="U79" s="301">
        <f t="shared" ref="U79:AH79" si="132">U77+U78</f>
        <v>1644198</v>
      </c>
      <c r="V79" s="301">
        <f t="shared" si="132"/>
        <v>0</v>
      </c>
      <c r="W79" s="301">
        <f t="shared" si="132"/>
        <v>0</v>
      </c>
      <c r="X79" s="301">
        <f t="shared" si="132"/>
        <v>0</v>
      </c>
      <c r="Y79" s="301">
        <f t="shared" si="132"/>
        <v>0</v>
      </c>
      <c r="Z79" s="301">
        <f t="shared" si="132"/>
        <v>0</v>
      </c>
      <c r="AA79" s="301">
        <f t="shared" si="132"/>
        <v>0</v>
      </c>
      <c r="AB79" s="301">
        <f t="shared" si="132"/>
        <v>0</v>
      </c>
      <c r="AC79" s="301">
        <f t="shared" si="132"/>
        <v>0</v>
      </c>
      <c r="AD79" s="301">
        <f t="shared" si="132"/>
        <v>0</v>
      </c>
      <c r="AE79" s="301">
        <f t="shared" si="132"/>
        <v>0</v>
      </c>
      <c r="AF79" s="301">
        <f t="shared" si="132"/>
        <v>110699</v>
      </c>
      <c r="AG79" s="301">
        <f t="shared" si="132"/>
        <v>0</v>
      </c>
      <c r="AH79" s="301">
        <f t="shared" si="132"/>
        <v>0</v>
      </c>
      <c r="AI79" s="301">
        <f t="shared" ref="AI79:AN79" si="133">AI77+AI78</f>
        <v>110699</v>
      </c>
      <c r="AJ79" s="301">
        <f t="shared" si="133"/>
        <v>0</v>
      </c>
      <c r="AK79" s="301">
        <f t="shared" si="133"/>
        <v>0</v>
      </c>
      <c r="AL79" s="301">
        <f t="shared" si="133"/>
        <v>0</v>
      </c>
      <c r="AM79" s="301">
        <f t="shared" si="133"/>
        <v>0</v>
      </c>
      <c r="AN79" s="301">
        <f t="shared" si="133"/>
        <v>0</v>
      </c>
      <c r="AO79" s="972"/>
      <c r="AP79" s="301">
        <f t="shared" ref="AP79:BD79" si="134">AP77+AP78</f>
        <v>0</v>
      </c>
      <c r="AQ79" s="301">
        <f t="shared" si="134"/>
        <v>0</v>
      </c>
      <c r="AR79" s="301">
        <f t="shared" si="134"/>
        <v>0</v>
      </c>
      <c r="AS79" s="301">
        <f t="shared" si="134"/>
        <v>0</v>
      </c>
      <c r="AT79" s="301">
        <f t="shared" si="134"/>
        <v>0</v>
      </c>
      <c r="AU79" s="301">
        <f t="shared" si="134"/>
        <v>0</v>
      </c>
      <c r="AV79" s="301">
        <f t="shared" si="134"/>
        <v>0</v>
      </c>
      <c r="AW79" s="301">
        <f t="shared" si="134"/>
        <v>0</v>
      </c>
      <c r="AX79" s="301">
        <f t="shared" si="134"/>
        <v>0</v>
      </c>
      <c r="AY79" s="301">
        <f t="shared" si="134"/>
        <v>0</v>
      </c>
      <c r="AZ79" s="301">
        <f t="shared" si="134"/>
        <v>0</v>
      </c>
      <c r="BA79" s="301">
        <f t="shared" si="134"/>
        <v>0</v>
      </c>
      <c r="BB79" s="301">
        <f t="shared" si="134"/>
        <v>0</v>
      </c>
      <c r="BC79" s="301">
        <f t="shared" si="134"/>
        <v>41580</v>
      </c>
      <c r="BD79" s="301">
        <f t="shared" si="134"/>
        <v>0</v>
      </c>
      <c r="BE79" s="301">
        <f t="shared" si="80"/>
        <v>7072820</v>
      </c>
      <c r="BF79" s="70">
        <f t="shared" si="131"/>
        <v>12630.04</v>
      </c>
      <c r="BG79" s="326">
        <f t="shared" ref="BG79:BM79" si="135">BG77+BG78</f>
        <v>5276343</v>
      </c>
      <c r="BH79" s="601">
        <f t="shared" si="135"/>
        <v>1644198</v>
      </c>
      <c r="BI79" s="326">
        <f t="shared" si="135"/>
        <v>0</v>
      </c>
      <c r="BJ79" s="326">
        <f t="shared" si="135"/>
        <v>41580</v>
      </c>
      <c r="BK79" s="326">
        <f t="shared" si="135"/>
        <v>0</v>
      </c>
      <c r="BL79" s="326">
        <f t="shared" si="135"/>
        <v>110699</v>
      </c>
      <c r="BM79" s="326">
        <f t="shared" si="135"/>
        <v>7072820</v>
      </c>
      <c r="BN79" s="966"/>
      <c r="BO79" s="333"/>
      <c r="BP79" s="333"/>
      <c r="BQ79" s="333"/>
      <c r="BR79" s="333"/>
    </row>
    <row r="80" spans="1:72" s="147" customFormat="1" ht="64.5" customHeight="1">
      <c r="A80" s="83" t="s">
        <v>147</v>
      </c>
      <c r="B80" s="9" t="s">
        <v>89</v>
      </c>
      <c r="C80" s="313">
        <v>4300</v>
      </c>
      <c r="D80" s="851" t="s">
        <v>102</v>
      </c>
      <c r="E80" s="145">
        <f>ROUND((T80+U80)/C80,3)</f>
        <v>635.77700000000004</v>
      </c>
      <c r="F80" s="145">
        <f>ROUND((V80+W80)/C80,3)</f>
        <v>208.643</v>
      </c>
      <c r="G80" s="145">
        <f t="shared" si="23"/>
        <v>844.42000000000007</v>
      </c>
      <c r="H80" s="145">
        <f>ROUND(AI80/C80,3)</f>
        <v>60.21</v>
      </c>
      <c r="I80" s="145">
        <f t="shared" si="124"/>
        <v>0</v>
      </c>
      <c r="J80" s="145">
        <f t="shared" si="125"/>
        <v>0</v>
      </c>
      <c r="K80" s="145">
        <f t="shared" si="126"/>
        <v>0</v>
      </c>
      <c r="L80" s="146">
        <f t="shared" si="127"/>
        <v>0</v>
      </c>
      <c r="M80" s="146">
        <f>ROUND(BC80/C80,3)</f>
        <v>18</v>
      </c>
      <c r="N80" s="146">
        <f t="shared" si="128"/>
        <v>0</v>
      </c>
      <c r="O80" s="145">
        <f t="shared" si="24"/>
        <v>922.63000000000011</v>
      </c>
      <c r="P80" s="145">
        <f t="shared" si="129"/>
        <v>0</v>
      </c>
      <c r="Q80" s="145">
        <f t="shared" si="130"/>
        <v>0</v>
      </c>
      <c r="R80" s="40">
        <f t="shared" si="22"/>
        <v>922.63000000000011</v>
      </c>
      <c r="S80" s="851" t="s">
        <v>102</v>
      </c>
      <c r="T80" s="295">
        <f>1914199+165558</f>
        <v>2079757</v>
      </c>
      <c r="U80" s="295">
        <f>ROUND(T80*0.3145,0)</f>
        <v>654084</v>
      </c>
      <c r="V80" s="295">
        <v>682513</v>
      </c>
      <c r="W80" s="295">
        <f>ROUND(V80*0.3145,0)</f>
        <v>214650</v>
      </c>
      <c r="X80" s="295"/>
      <c r="Y80" s="295"/>
      <c r="Z80" s="295"/>
      <c r="AA80" s="295"/>
      <c r="AB80" s="295"/>
      <c r="AC80" s="295"/>
      <c r="AD80" s="295"/>
      <c r="AE80" s="295"/>
      <c r="AF80" s="15">
        <f>ROUND(AF82/C82*C80,0)</f>
        <v>258901</v>
      </c>
      <c r="AG80" s="295"/>
      <c r="AH80" s="295"/>
      <c r="AI80" s="295">
        <f>AA80+AB80+AC80+AD80+AE80+AF80+AH80+AG80</f>
        <v>258901</v>
      </c>
      <c r="AJ80" s="295"/>
      <c r="AK80" s="295"/>
      <c r="AL80" s="295"/>
      <c r="AM80" s="295"/>
      <c r="AN80" s="295"/>
      <c r="AO80" s="854" t="s">
        <v>102</v>
      </c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15">
        <f>ROUND(BC82/C82*C80,0)</f>
        <v>77400</v>
      </c>
      <c r="BD80" s="295"/>
      <c r="BE80" s="295">
        <f t="shared" si="80"/>
        <v>3967305</v>
      </c>
      <c r="BF80" s="70">
        <f t="shared" si="131"/>
        <v>922.63</v>
      </c>
      <c r="BG80" s="222">
        <f>T80+V80</f>
        <v>2762270</v>
      </c>
      <c r="BH80" s="223">
        <f>U80+W80</f>
        <v>868734</v>
      </c>
      <c r="BI80" s="223">
        <f>X80+Y80+Z80</f>
        <v>0</v>
      </c>
      <c r="BJ80" s="223">
        <f>BC80</f>
        <v>77400</v>
      </c>
      <c r="BK80" s="222">
        <f>BB80</f>
        <v>0</v>
      </c>
      <c r="BL80" s="223">
        <f>AA80+AB80+AC80+AD80+AE80+AF80+AG80+AH80+AJ80+AK80+AL80+AM80+AN80+AP80+AQ80+AR80+AS80+AT80+AU80+AV80+AW80+AX80+AY80+AZ80+BA80+BD80</f>
        <v>258901</v>
      </c>
      <c r="BM80" s="223">
        <f>BG80+BH80+BI80+BJ80+BL80</f>
        <v>3967305</v>
      </c>
      <c r="BN80" s="965" t="s">
        <v>102</v>
      </c>
      <c r="BO80" s="328"/>
      <c r="BP80" s="328"/>
      <c r="BQ80" s="328"/>
      <c r="BR80" s="328"/>
    </row>
    <row r="81" spans="1:70" s="147" customFormat="1" ht="73.5" customHeight="1">
      <c r="A81" s="362" t="s">
        <v>359</v>
      </c>
      <c r="B81" s="435" t="s">
        <v>101</v>
      </c>
      <c r="C81" s="313">
        <v>7000</v>
      </c>
      <c r="D81" s="957"/>
      <c r="E81" s="145">
        <f>ROUND((T81+U81)/C81,3)</f>
        <v>623.53200000000004</v>
      </c>
      <c r="F81" s="145">
        <f>ROUND((V81+W81)/C81,3)</f>
        <v>258.358</v>
      </c>
      <c r="G81" s="145">
        <f t="shared" si="23"/>
        <v>881.8900000000001</v>
      </c>
      <c r="H81" s="145">
        <f>ROUND(AI81/C81,3)</f>
        <v>60.21</v>
      </c>
      <c r="I81" s="145">
        <f t="shared" si="124"/>
        <v>0</v>
      </c>
      <c r="J81" s="145">
        <f t="shared" si="125"/>
        <v>0</v>
      </c>
      <c r="K81" s="145">
        <f t="shared" si="126"/>
        <v>0</v>
      </c>
      <c r="L81" s="146">
        <f t="shared" si="127"/>
        <v>0</v>
      </c>
      <c r="M81" s="146">
        <f>ROUND(BC81/C81,3)</f>
        <v>18</v>
      </c>
      <c r="N81" s="146">
        <f t="shared" si="128"/>
        <v>0</v>
      </c>
      <c r="O81" s="145">
        <f t="shared" si="24"/>
        <v>960.10000000000014</v>
      </c>
      <c r="P81" s="145">
        <f t="shared" si="129"/>
        <v>0</v>
      </c>
      <c r="Q81" s="145">
        <f t="shared" si="130"/>
        <v>0</v>
      </c>
      <c r="R81" s="40">
        <f t="shared" si="22"/>
        <v>960.10000000000014</v>
      </c>
      <c r="S81" s="957"/>
      <c r="T81" s="295">
        <f>3050731+269513</f>
        <v>3320244</v>
      </c>
      <c r="U81" s="295">
        <v>1044482</v>
      </c>
      <c r="V81" s="295">
        <v>1375812</v>
      </c>
      <c r="W81" s="295">
        <f>ROUND(V81*0.3145,0)</f>
        <v>432693</v>
      </c>
      <c r="X81" s="295"/>
      <c r="Y81" s="295"/>
      <c r="Z81" s="295"/>
      <c r="AA81" s="295"/>
      <c r="AB81" s="295"/>
      <c r="AC81" s="295"/>
      <c r="AD81" s="295"/>
      <c r="AE81" s="295"/>
      <c r="AF81" s="15">
        <f>AF82-AF80</f>
        <v>421468</v>
      </c>
      <c r="AG81" s="295"/>
      <c r="AH81" s="295"/>
      <c r="AI81" s="295">
        <f>AA81+AB81+AC81+AD81+AE81+AF81+AH81+AG81</f>
        <v>421468</v>
      </c>
      <c r="AJ81" s="295"/>
      <c r="AK81" s="295"/>
      <c r="AL81" s="295"/>
      <c r="AM81" s="295"/>
      <c r="AN81" s="295"/>
      <c r="AO81" s="969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15">
        <f>BC82-BC80</f>
        <v>126000</v>
      </c>
      <c r="BD81" s="295"/>
      <c r="BE81" s="295">
        <f>T81+U81+V81+W81+X81+Y81+Z81+AI81+AJ81+AK81+AL81+AM81+AP81+AQ81+AR81+AS81+AT81+AU81+AV81+AW81+AX81+AY81+AZ81+BA81+BB81+BC81+BD81</f>
        <v>6720699</v>
      </c>
      <c r="BF81" s="70">
        <f>ROUND(BE81/C81,3)</f>
        <v>960.1</v>
      </c>
      <c r="BG81" s="222">
        <f>T81+V81</f>
        <v>4696056</v>
      </c>
      <c r="BH81" s="223">
        <f>U81+W81</f>
        <v>1477175</v>
      </c>
      <c r="BI81" s="223">
        <f>X81+Y81+Z81</f>
        <v>0</v>
      </c>
      <c r="BJ81" s="223">
        <f>BC81</f>
        <v>126000</v>
      </c>
      <c r="BK81" s="222">
        <f>BB81</f>
        <v>0</v>
      </c>
      <c r="BL81" s="223">
        <f>AA81+AB81+AC81+AD81+AE81+AF81+AG81+AH81+AJ81+AK81+AL81+AM81+AN81+AP81+AQ81+AR81+AS81+AT81+AU81+AV81+AW81+AX81+AY81+AZ81+BA81+BD81</f>
        <v>421468</v>
      </c>
      <c r="BM81" s="223">
        <f>BG81+BH81+BI81+BJ81+BL81</f>
        <v>6720699</v>
      </c>
      <c r="BN81" s="965"/>
      <c r="BO81" s="328"/>
      <c r="BP81" s="328"/>
      <c r="BQ81" s="328"/>
      <c r="BR81" s="328"/>
    </row>
    <row r="82" spans="1:70" s="151" customFormat="1" ht="28.5" customHeight="1">
      <c r="A82" s="148" t="s">
        <v>42</v>
      </c>
      <c r="B82" s="403"/>
      <c r="C82" s="315">
        <f>C80+C81</f>
        <v>11300</v>
      </c>
      <c r="D82" s="958"/>
      <c r="E82" s="149">
        <f>ROUND((T82+U82)/C82,3)</f>
        <v>628.19200000000001</v>
      </c>
      <c r="F82" s="149">
        <f>ROUND((V82+W82)/C82,3)</f>
        <v>239.44</v>
      </c>
      <c r="G82" s="149">
        <f t="shared" si="23"/>
        <v>867.63200000000006</v>
      </c>
      <c r="H82" s="149">
        <f>ROUND(AI82/C82,3)</f>
        <v>60.21</v>
      </c>
      <c r="I82" s="149">
        <f t="shared" si="124"/>
        <v>0</v>
      </c>
      <c r="J82" s="149">
        <f t="shared" si="125"/>
        <v>0</v>
      </c>
      <c r="K82" s="149">
        <f t="shared" si="126"/>
        <v>0</v>
      </c>
      <c r="L82" s="150">
        <f t="shared" si="127"/>
        <v>0</v>
      </c>
      <c r="M82" s="150">
        <f>ROUND(BC82/C82,3)</f>
        <v>18</v>
      </c>
      <c r="N82" s="150">
        <f t="shared" si="128"/>
        <v>0</v>
      </c>
      <c r="O82" s="149">
        <f t="shared" si="24"/>
        <v>945.8420000000001</v>
      </c>
      <c r="P82" s="149">
        <f t="shared" si="129"/>
        <v>0</v>
      </c>
      <c r="Q82" s="149">
        <f t="shared" si="130"/>
        <v>0</v>
      </c>
      <c r="R82" s="39">
        <f t="shared" si="22"/>
        <v>945.8420000000001</v>
      </c>
      <c r="S82" s="958"/>
      <c r="T82" s="224">
        <f>T80+T81</f>
        <v>5400001</v>
      </c>
      <c r="U82" s="301">
        <f t="shared" ref="U82:AH82" si="136">U80+U81</f>
        <v>1698566</v>
      </c>
      <c r="V82" s="301">
        <f t="shared" si="136"/>
        <v>2058325</v>
      </c>
      <c r="W82" s="301">
        <f t="shared" si="136"/>
        <v>647343</v>
      </c>
      <c r="X82" s="301">
        <f t="shared" si="136"/>
        <v>0</v>
      </c>
      <c r="Y82" s="301">
        <f t="shared" si="136"/>
        <v>0</v>
      </c>
      <c r="Z82" s="301">
        <f t="shared" si="136"/>
        <v>0</v>
      </c>
      <c r="AA82" s="301">
        <f t="shared" si="136"/>
        <v>0</v>
      </c>
      <c r="AB82" s="301">
        <f t="shared" si="136"/>
        <v>0</v>
      </c>
      <c r="AC82" s="301">
        <f t="shared" si="136"/>
        <v>0</v>
      </c>
      <c r="AD82" s="301">
        <f t="shared" si="136"/>
        <v>0</v>
      </c>
      <c r="AE82" s="301">
        <f t="shared" si="136"/>
        <v>0</v>
      </c>
      <c r="AF82" s="301">
        <v>680369</v>
      </c>
      <c r="AG82" s="301">
        <f t="shared" si="136"/>
        <v>0</v>
      </c>
      <c r="AH82" s="301">
        <f t="shared" si="136"/>
        <v>0</v>
      </c>
      <c r="AI82" s="301">
        <f t="shared" ref="AI82:AN82" si="137">AI80+AI81</f>
        <v>680369</v>
      </c>
      <c r="AJ82" s="301">
        <f t="shared" si="137"/>
        <v>0</v>
      </c>
      <c r="AK82" s="301">
        <f t="shared" si="137"/>
        <v>0</v>
      </c>
      <c r="AL82" s="301">
        <f t="shared" si="137"/>
        <v>0</v>
      </c>
      <c r="AM82" s="301">
        <f t="shared" si="137"/>
        <v>0</v>
      </c>
      <c r="AN82" s="301">
        <f t="shared" si="137"/>
        <v>0</v>
      </c>
      <c r="AO82" s="970"/>
      <c r="AP82" s="301">
        <f t="shared" ref="AP82:BD82" si="138">AP80+AP81</f>
        <v>0</v>
      </c>
      <c r="AQ82" s="301">
        <f t="shared" si="138"/>
        <v>0</v>
      </c>
      <c r="AR82" s="301">
        <f t="shared" si="138"/>
        <v>0</v>
      </c>
      <c r="AS82" s="301">
        <f t="shared" si="138"/>
        <v>0</v>
      </c>
      <c r="AT82" s="301">
        <f t="shared" si="138"/>
        <v>0</v>
      </c>
      <c r="AU82" s="301">
        <f t="shared" si="138"/>
        <v>0</v>
      </c>
      <c r="AV82" s="301">
        <f t="shared" si="138"/>
        <v>0</v>
      </c>
      <c r="AW82" s="301">
        <f t="shared" si="138"/>
        <v>0</v>
      </c>
      <c r="AX82" s="301">
        <f t="shared" si="138"/>
        <v>0</v>
      </c>
      <c r="AY82" s="301">
        <f t="shared" si="138"/>
        <v>0</v>
      </c>
      <c r="AZ82" s="301">
        <f t="shared" si="138"/>
        <v>0</v>
      </c>
      <c r="BA82" s="301">
        <f t="shared" si="138"/>
        <v>0</v>
      </c>
      <c r="BB82" s="301">
        <f t="shared" si="138"/>
        <v>0</v>
      </c>
      <c r="BC82" s="301">
        <v>203400</v>
      </c>
      <c r="BD82" s="301">
        <f t="shared" si="138"/>
        <v>0</v>
      </c>
      <c r="BE82" s="301">
        <f>T82+U82+V82+W82+X82+Y82+Z82+AI82+AJ82+AK82+AL82+AM82+AP82+AQ82+AR82+AS82+AT82+AU82+AV82+AW82+AX82+AY82+AZ82+BA82+BB82+BC82+BD82</f>
        <v>10688004</v>
      </c>
      <c r="BF82" s="70">
        <f t="shared" si="131"/>
        <v>945.84</v>
      </c>
      <c r="BG82" s="326">
        <f t="shared" ref="BG82:BM82" si="139">BG80+BG81</f>
        <v>7458326</v>
      </c>
      <c r="BH82" s="326">
        <f t="shared" si="139"/>
        <v>2345909</v>
      </c>
      <c r="BI82" s="326">
        <f t="shared" si="139"/>
        <v>0</v>
      </c>
      <c r="BJ82" s="326">
        <f t="shared" si="139"/>
        <v>203400</v>
      </c>
      <c r="BK82" s="368">
        <f>BB82</f>
        <v>0</v>
      </c>
      <c r="BL82" s="326">
        <f t="shared" si="139"/>
        <v>680369</v>
      </c>
      <c r="BM82" s="326">
        <f t="shared" si="139"/>
        <v>10688004</v>
      </c>
      <c r="BN82" s="965"/>
      <c r="BO82" s="333"/>
      <c r="BP82" s="333"/>
      <c r="BQ82" s="333"/>
      <c r="BR82" s="333"/>
    </row>
    <row r="83" spans="1:70" s="147" customFormat="1" ht="79.5" customHeight="1">
      <c r="A83" s="152" t="s">
        <v>147</v>
      </c>
      <c r="B83" s="9" t="s">
        <v>89</v>
      </c>
      <c r="C83" s="313">
        <v>1460</v>
      </c>
      <c r="D83" s="851" t="s">
        <v>149</v>
      </c>
      <c r="E83" s="145">
        <f>ROUND((T83+U83)/C83,3)</f>
        <v>4956.6580000000004</v>
      </c>
      <c r="F83" s="145">
        <f>ROUND((V83+W83)/C83,3)</f>
        <v>1832.404</v>
      </c>
      <c r="G83" s="145">
        <f t="shared" si="23"/>
        <v>6789.0619999999999</v>
      </c>
      <c r="H83" s="145">
        <f>ROUND(AI83/C83,3)</f>
        <v>113.97</v>
      </c>
      <c r="I83" s="145">
        <f t="shared" si="124"/>
        <v>0</v>
      </c>
      <c r="J83" s="145">
        <f t="shared" si="125"/>
        <v>0</v>
      </c>
      <c r="K83" s="145">
        <f>ROUND((AW83+AX83)/C83,3)</f>
        <v>11.01</v>
      </c>
      <c r="L83" s="146">
        <f t="shared" si="127"/>
        <v>0</v>
      </c>
      <c r="M83" s="146">
        <f>ROUND(BC83/C83,3)</f>
        <v>74.25</v>
      </c>
      <c r="N83" s="146">
        <f t="shared" si="128"/>
        <v>0</v>
      </c>
      <c r="O83" s="145">
        <f t="shared" si="24"/>
        <v>6988.2919999999995</v>
      </c>
      <c r="P83" s="145">
        <f>ROUND((X83+Y83+Z83)/C83,3)</f>
        <v>50.533999999999999</v>
      </c>
      <c r="Q83" s="145">
        <f t="shared" si="130"/>
        <v>0</v>
      </c>
      <c r="R83" s="40">
        <f t="shared" si="22"/>
        <v>7038.8259999999991</v>
      </c>
      <c r="S83" s="959" t="s">
        <v>149</v>
      </c>
      <c r="T83" s="295">
        <f>4965260+498240</f>
        <v>5463500</v>
      </c>
      <c r="U83" s="295">
        <v>1773221</v>
      </c>
      <c r="V83" s="295">
        <v>2010798.5</v>
      </c>
      <c r="W83" s="295">
        <v>664511.72</v>
      </c>
      <c r="X83" s="295">
        <v>27274</v>
      </c>
      <c r="Y83" s="295">
        <v>44317</v>
      </c>
      <c r="Z83" s="295">
        <v>2189</v>
      </c>
      <c r="AA83" s="295">
        <v>1987</v>
      </c>
      <c r="AB83" s="295"/>
      <c r="AC83" s="295"/>
      <c r="AD83" s="295"/>
      <c r="AE83" s="295"/>
      <c r="AF83" s="295">
        <v>164409</v>
      </c>
      <c r="AG83" s="295"/>
      <c r="AH83" s="295"/>
      <c r="AI83" s="295">
        <f>AA83+AB83+AC83+AD83+AE83+AF83+AH83+AG83</f>
        <v>166396</v>
      </c>
      <c r="AJ83" s="295"/>
      <c r="AK83" s="295"/>
      <c r="AL83" s="295"/>
      <c r="AM83" s="295"/>
      <c r="AN83" s="295"/>
      <c r="AO83" s="962" t="s">
        <v>149</v>
      </c>
      <c r="AP83" s="295"/>
      <c r="AQ83" s="295"/>
      <c r="AR83" s="295"/>
      <c r="AS83" s="295"/>
      <c r="AT83" s="295"/>
      <c r="AU83" s="295"/>
      <c r="AV83" s="295"/>
      <c r="AW83" s="295"/>
      <c r="AX83" s="295">
        <v>16075</v>
      </c>
      <c r="AY83" s="295"/>
      <c r="AZ83" s="295"/>
      <c r="BA83" s="295"/>
      <c r="BB83" s="295"/>
      <c r="BC83" s="295">
        <v>108405</v>
      </c>
      <c r="BD83" s="295"/>
      <c r="BE83" s="295">
        <f>T83+U83+V83+W83+X83+Y83+Z83+AI83+AJ83+AK83+AL83+AM83+AP83+AQ83+AR83+AS83+AT83+AU83+AV83+AW83+AX83+AY83+AZ83+BA83+BB83+BC83+BD83</f>
        <v>10276687.220000001</v>
      </c>
      <c r="BF83" s="70">
        <f>ROUND(BE83/C83,3)</f>
        <v>7038.8270000000002</v>
      </c>
      <c r="BG83" s="222">
        <f>T83+V83</f>
        <v>7474298.5</v>
      </c>
      <c r="BH83" s="223">
        <f>U83+W83</f>
        <v>2437732.7199999997</v>
      </c>
      <c r="BI83" s="223">
        <f>X83+Y83+Z83</f>
        <v>73780</v>
      </c>
      <c r="BJ83" s="223">
        <f>BC83</f>
        <v>108405</v>
      </c>
      <c r="BK83" s="222">
        <f>BB83</f>
        <v>0</v>
      </c>
      <c r="BL83" s="223">
        <f>AA83+AB83+AC83+AD83+AE83+AF83+AG83+AH83+AJ83+AK83+AL83+AM83+AN83+AP83+AQ83+AR83+AS83+AT83+AU83+AV83+AW83+AX83+AY83+AZ83+BA83+BD83</f>
        <v>182471</v>
      </c>
      <c r="BM83" s="223">
        <f>BG83+BH83+BI83+BJ83+BL83</f>
        <v>10276687.219999999</v>
      </c>
      <c r="BN83" s="966" t="s">
        <v>149</v>
      </c>
      <c r="BO83" s="328"/>
      <c r="BP83" s="328"/>
      <c r="BQ83" s="328"/>
      <c r="BR83" s="328"/>
    </row>
    <row r="84" spans="1:70" s="147" customFormat="1" ht="42" hidden="1" customHeight="1">
      <c r="A84" s="152" t="s">
        <v>148</v>
      </c>
      <c r="B84" s="435" t="s">
        <v>101</v>
      </c>
      <c r="C84" s="327">
        <v>0</v>
      </c>
      <c r="D84" s="903"/>
      <c r="E84" s="145" t="e">
        <f t="shared" si="122"/>
        <v>#DIV/0!</v>
      </c>
      <c r="F84" s="145" t="e">
        <f>ROUND((V84+W84)/C84,2)</f>
        <v>#DIV/0!</v>
      </c>
      <c r="G84" s="145" t="e">
        <f t="shared" si="23"/>
        <v>#DIV/0!</v>
      </c>
      <c r="H84" s="145" t="e">
        <f t="shared" si="123"/>
        <v>#DIV/0!</v>
      </c>
      <c r="I84" s="145" t="e">
        <f t="shared" si="124"/>
        <v>#DIV/0!</v>
      </c>
      <c r="J84" s="145" t="e">
        <f t="shared" si="125"/>
        <v>#DIV/0!</v>
      </c>
      <c r="K84" s="145" t="e">
        <f t="shared" si="126"/>
        <v>#DIV/0!</v>
      </c>
      <c r="L84" s="146" t="e">
        <f t="shared" si="127"/>
        <v>#DIV/0!</v>
      </c>
      <c r="M84" s="146" t="e">
        <f>ROUND(BC84/C84,2)</f>
        <v>#DIV/0!</v>
      </c>
      <c r="N84" s="146" t="e">
        <f t="shared" si="128"/>
        <v>#DIV/0!</v>
      </c>
      <c r="O84" s="145" t="e">
        <f t="shared" si="24"/>
        <v>#DIV/0!</v>
      </c>
      <c r="P84" s="145" t="e">
        <f t="shared" si="129"/>
        <v>#DIV/0!</v>
      </c>
      <c r="Q84" s="145" t="e">
        <f t="shared" si="130"/>
        <v>#DIV/0!</v>
      </c>
      <c r="R84" s="40" t="e">
        <f>O84+P84+Q84</f>
        <v>#DIV/0!</v>
      </c>
      <c r="S84" s="960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295">
        <f>AA84+AB84+AC84+AD84+AE84+AF84+AH84+AG84</f>
        <v>0</v>
      </c>
      <c r="AJ84" s="302"/>
      <c r="AK84" s="302"/>
      <c r="AL84" s="302"/>
      <c r="AM84" s="302"/>
      <c r="AN84" s="302"/>
      <c r="AO84" s="963"/>
      <c r="AP84" s="302"/>
      <c r="AQ84" s="302"/>
      <c r="AR84" s="302"/>
      <c r="AS84" s="302"/>
      <c r="AT84" s="302"/>
      <c r="AU84" s="302"/>
      <c r="AV84" s="302"/>
      <c r="AW84" s="302"/>
      <c r="AX84" s="303"/>
      <c r="AY84" s="303"/>
      <c r="AZ84" s="303"/>
      <c r="BA84" s="303"/>
      <c r="BB84" s="303"/>
      <c r="BC84" s="303">
        <v>0</v>
      </c>
      <c r="BD84" s="302"/>
      <c r="BE84" s="295">
        <f>T84+U84+V84+W84+X84+Y84+Z84+AI84+AJ84+AK84+AL84+AM84+AP84+AQ84+AR84+AS84+AT84+AU84+AV84+AW84+AX84+AY84+AZ84+BA84+BB84+BC84+BD84</f>
        <v>0</v>
      </c>
      <c r="BF84" s="70" t="e">
        <f t="shared" si="131"/>
        <v>#DIV/0!</v>
      </c>
      <c r="BG84" s="222">
        <f>T84+V84</f>
        <v>0</v>
      </c>
      <c r="BH84" s="223">
        <f>U84+W84</f>
        <v>0</v>
      </c>
      <c r="BI84" s="223">
        <f>X84+Y84+Z84</f>
        <v>0</v>
      </c>
      <c r="BJ84" s="223">
        <f>BC84</f>
        <v>0</v>
      </c>
      <c r="BK84" s="223"/>
      <c r="BL84" s="223">
        <f>AA84+AB84+AC84+AD84+AE84+AF84+AG84+AH84+AJ84+AK84+AL84+AM84+AN84+AP84+AQ84+AR84+AS84+AT84+AU84+AV84+AW84+AX84+AY84+AZ84+BA84+BD84</f>
        <v>0</v>
      </c>
      <c r="BM84" s="223">
        <f>BG84+BH84+BI84+BJ84+BL84</f>
        <v>0</v>
      </c>
      <c r="BN84" s="973"/>
      <c r="BO84" s="328"/>
      <c r="BP84" s="328"/>
      <c r="BQ84" s="328"/>
      <c r="BR84" s="328"/>
    </row>
    <row r="85" spans="1:70" s="151" customFormat="1" ht="57" customHeight="1">
      <c r="A85" s="148" t="s">
        <v>42</v>
      </c>
      <c r="B85" s="403"/>
      <c r="C85" s="315">
        <f>C83+C84</f>
        <v>1460</v>
      </c>
      <c r="D85" s="904"/>
      <c r="E85" s="149">
        <f>ROUND((T85+U85)/C85,3)</f>
        <v>4956.6580000000004</v>
      </c>
      <c r="F85" s="149">
        <f>ROUND((V85+W85)/C85,3)</f>
        <v>1832.404</v>
      </c>
      <c r="G85" s="149">
        <f t="shared" si="23"/>
        <v>6789.0619999999999</v>
      </c>
      <c r="H85" s="149">
        <f>ROUND(AI85/C85,3)</f>
        <v>113.97</v>
      </c>
      <c r="I85" s="149">
        <f t="shared" si="124"/>
        <v>0</v>
      </c>
      <c r="J85" s="149">
        <f t="shared" si="125"/>
        <v>0</v>
      </c>
      <c r="K85" s="149">
        <f t="shared" si="126"/>
        <v>11.01</v>
      </c>
      <c r="L85" s="150">
        <f t="shared" si="127"/>
        <v>0</v>
      </c>
      <c r="M85" s="150">
        <f>ROUND(BC85/C85,3)</f>
        <v>74.25</v>
      </c>
      <c r="N85" s="150">
        <f t="shared" si="128"/>
        <v>0</v>
      </c>
      <c r="O85" s="149">
        <f t="shared" si="24"/>
        <v>6988.2919999999995</v>
      </c>
      <c r="P85" s="149">
        <f>ROUND((X85+Y85+Z85)/C85,3)</f>
        <v>50.533999999999999</v>
      </c>
      <c r="Q85" s="149">
        <f t="shared" si="130"/>
        <v>0</v>
      </c>
      <c r="R85" s="39">
        <f>O85+P85+Q85</f>
        <v>7038.8259999999991</v>
      </c>
      <c r="S85" s="961"/>
      <c r="T85" s="224">
        <f>T83+T84</f>
        <v>5463500</v>
      </c>
      <c r="U85" s="301">
        <f t="shared" ref="U85:AH85" si="140">U83+U84</f>
        <v>1773221</v>
      </c>
      <c r="V85" s="301">
        <f t="shared" si="140"/>
        <v>2010798.5</v>
      </c>
      <c r="W85" s="301">
        <f t="shared" si="140"/>
        <v>664511.72</v>
      </c>
      <c r="X85" s="301">
        <v>36374</v>
      </c>
      <c r="Y85" s="301">
        <v>35217</v>
      </c>
      <c r="Z85" s="301">
        <f t="shared" si="140"/>
        <v>2189</v>
      </c>
      <c r="AA85" s="301">
        <f t="shared" si="140"/>
        <v>1987</v>
      </c>
      <c r="AB85" s="301">
        <f t="shared" si="140"/>
        <v>0</v>
      </c>
      <c r="AC85" s="301">
        <f t="shared" si="140"/>
        <v>0</v>
      </c>
      <c r="AD85" s="301">
        <f t="shared" si="140"/>
        <v>0</v>
      </c>
      <c r="AE85" s="301">
        <f t="shared" si="140"/>
        <v>0</v>
      </c>
      <c r="AF85" s="301">
        <f t="shared" si="140"/>
        <v>164409</v>
      </c>
      <c r="AG85" s="301">
        <f t="shared" si="140"/>
        <v>0</v>
      </c>
      <c r="AH85" s="301">
        <f t="shared" si="140"/>
        <v>0</v>
      </c>
      <c r="AI85" s="301">
        <f t="shared" ref="AI85:AN85" si="141">AI83+AI84</f>
        <v>166396</v>
      </c>
      <c r="AJ85" s="301">
        <f t="shared" si="141"/>
        <v>0</v>
      </c>
      <c r="AK85" s="301">
        <f t="shared" si="141"/>
        <v>0</v>
      </c>
      <c r="AL85" s="301">
        <f t="shared" si="141"/>
        <v>0</v>
      </c>
      <c r="AM85" s="301">
        <f t="shared" si="141"/>
        <v>0</v>
      </c>
      <c r="AN85" s="301">
        <f t="shared" si="141"/>
        <v>0</v>
      </c>
      <c r="AO85" s="964"/>
      <c r="AP85" s="301">
        <f t="shared" ref="AP85:BD85" si="142">AP83+AP84</f>
        <v>0</v>
      </c>
      <c r="AQ85" s="301">
        <f t="shared" si="142"/>
        <v>0</v>
      </c>
      <c r="AR85" s="301">
        <f t="shared" si="142"/>
        <v>0</v>
      </c>
      <c r="AS85" s="301">
        <f t="shared" si="142"/>
        <v>0</v>
      </c>
      <c r="AT85" s="301">
        <f t="shared" si="142"/>
        <v>0</v>
      </c>
      <c r="AU85" s="301">
        <f t="shared" si="142"/>
        <v>0</v>
      </c>
      <c r="AV85" s="301">
        <f t="shared" si="142"/>
        <v>0</v>
      </c>
      <c r="AW85" s="301">
        <f t="shared" si="142"/>
        <v>0</v>
      </c>
      <c r="AX85" s="301">
        <f t="shared" si="142"/>
        <v>16075</v>
      </c>
      <c r="AY85" s="301">
        <f t="shared" si="142"/>
        <v>0</v>
      </c>
      <c r="AZ85" s="301">
        <f t="shared" si="142"/>
        <v>0</v>
      </c>
      <c r="BA85" s="301">
        <f t="shared" si="142"/>
        <v>0</v>
      </c>
      <c r="BB85" s="301">
        <f t="shared" si="142"/>
        <v>0</v>
      </c>
      <c r="BC85" s="301">
        <f t="shared" si="142"/>
        <v>108405</v>
      </c>
      <c r="BD85" s="301">
        <f t="shared" si="142"/>
        <v>0</v>
      </c>
      <c r="BE85" s="301">
        <f>T85+U85+V85+W85+X85+Y85+Z85+AI85+AJ85+AK85+AL85+AM85+AP85+AQ85+AR85+AS85+AT85+AU85+AV85+AW85+AX85+AY85+AZ85+BA85+BB85+BC85+BD85</f>
        <v>10276687.220000001</v>
      </c>
      <c r="BF85" s="70">
        <f t="shared" si="131"/>
        <v>7038.83</v>
      </c>
      <c r="BG85" s="326">
        <f t="shared" ref="BG85:BM85" si="143">BG83+BG84</f>
        <v>7474298.5</v>
      </c>
      <c r="BH85" s="326">
        <f t="shared" si="143"/>
        <v>2437732.7199999997</v>
      </c>
      <c r="BI85" s="326">
        <f t="shared" si="143"/>
        <v>73780</v>
      </c>
      <c r="BJ85" s="326">
        <f t="shared" si="143"/>
        <v>108405</v>
      </c>
      <c r="BK85" s="326">
        <f t="shared" si="143"/>
        <v>0</v>
      </c>
      <c r="BL85" s="326">
        <f t="shared" si="143"/>
        <v>182471</v>
      </c>
      <c r="BM85" s="326">
        <f t="shared" si="143"/>
        <v>10276687.219999999</v>
      </c>
      <c r="BN85" s="973"/>
      <c r="BO85" s="333"/>
      <c r="BP85" s="333"/>
      <c r="BQ85" s="333"/>
      <c r="BR85" s="333"/>
    </row>
    <row r="86" spans="1:70" ht="45" customHeight="1">
      <c r="A86" s="363" t="s">
        <v>361</v>
      </c>
    </row>
    <row r="87" spans="1:70" ht="54.75" customHeight="1">
      <c r="A87" s="956" t="s">
        <v>337</v>
      </c>
      <c r="B87" s="721"/>
      <c r="C87" s="721"/>
      <c r="D87" s="721"/>
      <c r="E87" s="721"/>
      <c r="F87" s="721"/>
      <c r="G87" s="721"/>
      <c r="H87" s="721"/>
      <c r="I87" s="721"/>
      <c r="J87" s="721"/>
      <c r="K87" s="721"/>
      <c r="L87" s="721"/>
      <c r="M87" s="721"/>
      <c r="N87" s="721"/>
      <c r="O87" s="721"/>
      <c r="P87" s="721"/>
      <c r="Q87" s="721"/>
      <c r="R87" s="721"/>
      <c r="S87" s="359"/>
      <c r="T87" s="359"/>
      <c r="BG87" s="277"/>
      <c r="BH87" s="277"/>
      <c r="BI87" s="277"/>
      <c r="BJ87" s="277"/>
      <c r="BK87" s="277"/>
      <c r="BL87" s="277"/>
      <c r="BM87" s="277"/>
    </row>
    <row r="88" spans="1:70" ht="110.25">
      <c r="A88" s="226" t="s">
        <v>241</v>
      </c>
      <c r="B88" s="51" t="s">
        <v>240</v>
      </c>
      <c r="C88" s="227">
        <v>1</v>
      </c>
      <c r="D88" s="51" t="s">
        <v>238</v>
      </c>
      <c r="E88" s="295">
        <f>ROUND((T88+U88)/C88,2)</f>
        <v>1725772</v>
      </c>
      <c r="F88" s="295">
        <f>ROUND((V88+W88)/C88,2)</f>
        <v>3190984.5</v>
      </c>
      <c r="G88" s="295">
        <f>E88+F88</f>
        <v>4916756.5</v>
      </c>
      <c r="H88" s="295">
        <f>ROUND(AI88/C88,2)</f>
        <v>259082</v>
      </c>
      <c r="I88" s="295">
        <f>ROUND((AJ88+AK88+AL88+AM88+AN88)/C88,2)</f>
        <v>34776</v>
      </c>
      <c r="J88" s="295">
        <f>ROUND((AP88+AQ88+AR88+AS88+AT88)/C88,2)</f>
        <v>0</v>
      </c>
      <c r="K88" s="295">
        <f>ROUND((AW88+AX88)/C88,2)</f>
        <v>0</v>
      </c>
      <c r="L88" s="419">
        <f>ROUND(BB88/C88,2)</f>
        <v>92821.5</v>
      </c>
      <c r="M88" s="419">
        <f>ROUND(BC88/C88,2)</f>
        <v>129938</v>
      </c>
      <c r="N88" s="419">
        <f>ROUND(BD88/C88,2)</f>
        <v>0</v>
      </c>
      <c r="O88" s="295">
        <f>N88+M88+L88+K88+J88+I88+H88+G88</f>
        <v>5433374</v>
      </c>
      <c r="P88" s="295">
        <f>ROUND((X88+Y88+Z88)/C88,2)</f>
        <v>115506</v>
      </c>
      <c r="Q88" s="295">
        <f>ROUND(AU88/C88,2)</f>
        <v>0</v>
      </c>
      <c r="R88" s="141">
        <f>O88+P88+Q88</f>
        <v>5548880</v>
      </c>
      <c r="S88" s="361" t="s">
        <v>93</v>
      </c>
      <c r="T88" s="58">
        <v>1325478</v>
      </c>
      <c r="U88" s="15">
        <v>400294</v>
      </c>
      <c r="V88" s="58">
        <f>2829626-378792</f>
        <v>2450834</v>
      </c>
      <c r="W88" s="15">
        <v>740150.5</v>
      </c>
      <c r="X88" s="295">
        <v>52692</v>
      </c>
      <c r="Y88" s="295">
        <v>56817</v>
      </c>
      <c r="Z88" s="295">
        <v>5997</v>
      </c>
      <c r="AA88" s="295"/>
      <c r="AB88" s="295"/>
      <c r="AC88" s="295"/>
      <c r="AD88" s="295"/>
      <c r="AE88" s="295"/>
      <c r="AF88" s="58">
        <v>259082</v>
      </c>
      <c r="AG88" s="295"/>
      <c r="AH88" s="295"/>
      <c r="AI88" s="295">
        <f>AA88+AB88+AC88+AD88+AE88+AF88+AH88+AG88</f>
        <v>259082</v>
      </c>
      <c r="AJ88" s="295"/>
      <c r="AK88" s="58">
        <v>5550</v>
      </c>
      <c r="AL88" s="58">
        <v>22344</v>
      </c>
      <c r="AM88" s="58">
        <v>6882</v>
      </c>
      <c r="AN88" s="295"/>
      <c r="AO88" s="361" t="s">
        <v>93</v>
      </c>
      <c r="AP88" s="295"/>
      <c r="AQ88" s="295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58">
        <v>92821.5</v>
      </c>
      <c r="BC88" s="295">
        <v>129938</v>
      </c>
      <c r="BD88" s="295"/>
      <c r="BE88" s="295">
        <f>T88+U88+V88+W88+X88+Y88+Z88+AI88+AJ88+AK88+AL88+AM88+AP88+AQ88+AR88+AS88+AT88+AU88+AV88+AW88+AX88+AY88+AZ88+BA88+BB88+BC88+BD88</f>
        <v>5548880</v>
      </c>
      <c r="BF88" s="24">
        <f>ROUND(BE88/C88,2)</f>
        <v>5548880</v>
      </c>
      <c r="BG88" s="222">
        <f>T88+V88</f>
        <v>3776312</v>
      </c>
      <c r="BH88" s="223">
        <f>U88+W88</f>
        <v>1140444.5</v>
      </c>
      <c r="BI88" s="223">
        <f>X88+Y88+Z88</f>
        <v>115506</v>
      </c>
      <c r="BJ88" s="223">
        <f>BC88</f>
        <v>129938</v>
      </c>
      <c r="BK88" s="222">
        <f>BB88</f>
        <v>92821.5</v>
      </c>
      <c r="BL88" s="223">
        <f>AA88+AB88+AC88+AD88+AE88+AF88+AG88+AH88+AJ88+AK88+AL88+AM88+AN88+AP88+AQ88+AR88+AS88+AT88+AU88+AV88+AW88+AX88+AY88+AZ88+BA88+BD88</f>
        <v>293858</v>
      </c>
      <c r="BM88" s="223">
        <f>BG88+BH88+BI88+BJ88+BL88+BK88</f>
        <v>5548880</v>
      </c>
      <c r="BN88" s="361" t="s">
        <v>93</v>
      </c>
      <c r="BO88" s="329"/>
    </row>
    <row r="91" spans="1:70">
      <c r="BG91" s="277">
        <f>BG13+BG88</f>
        <v>48848511.579999998</v>
      </c>
      <c r="BH91" s="277">
        <f t="shared" ref="BH91:BM91" si="144">BH13+BH88</f>
        <v>15119139.300000001</v>
      </c>
      <c r="BI91" s="277">
        <f t="shared" si="144"/>
        <v>189286</v>
      </c>
      <c r="BJ91" s="277">
        <f t="shared" si="144"/>
        <v>761274</v>
      </c>
      <c r="BK91" s="277">
        <f t="shared" si="144"/>
        <v>92821.5</v>
      </c>
      <c r="BL91" s="277">
        <f t="shared" si="144"/>
        <v>2335821.9299999997</v>
      </c>
      <c r="BM91" s="277">
        <f t="shared" si="144"/>
        <v>67346854.310000002</v>
      </c>
    </row>
    <row r="94" spans="1:70">
      <c r="BH94" s="277"/>
      <c r="BL94" s="277"/>
    </row>
    <row r="97" spans="20:20">
      <c r="T97" s="27"/>
    </row>
  </sheetData>
  <mergeCells count="172">
    <mergeCell ref="BN59:BN61"/>
    <mergeCell ref="BN62:BN64"/>
    <mergeCell ref="BN65:BN67"/>
    <mergeCell ref="BN71:BN73"/>
    <mergeCell ref="BN56:BN58"/>
    <mergeCell ref="BN23:BN25"/>
    <mergeCell ref="BN26:BN28"/>
    <mergeCell ref="BN29:BN31"/>
    <mergeCell ref="BN32:BN34"/>
    <mergeCell ref="BN53:BN55"/>
    <mergeCell ref="BN5:BN9"/>
    <mergeCell ref="BN14:BN15"/>
    <mergeCell ref="BN17:BN19"/>
    <mergeCell ref="BN20:BN22"/>
    <mergeCell ref="BN47:BN49"/>
    <mergeCell ref="BN50:BN52"/>
    <mergeCell ref="BN35:BN37"/>
    <mergeCell ref="BN38:BN40"/>
    <mergeCell ref="BN41:BN43"/>
    <mergeCell ref="BN44:BN46"/>
    <mergeCell ref="AO59:AO61"/>
    <mergeCell ref="AO62:AO64"/>
    <mergeCell ref="S17:S19"/>
    <mergeCell ref="S20:S22"/>
    <mergeCell ref="S23:S25"/>
    <mergeCell ref="S26:S28"/>
    <mergeCell ref="AO17:AO19"/>
    <mergeCell ref="S62:S64"/>
    <mergeCell ref="S65:S67"/>
    <mergeCell ref="AO65:AO67"/>
    <mergeCell ref="AO23:AO25"/>
    <mergeCell ref="AO26:AO28"/>
    <mergeCell ref="S38:S40"/>
    <mergeCell ref="AO50:AO52"/>
    <mergeCell ref="S32:S34"/>
    <mergeCell ref="D26:D28"/>
    <mergeCell ref="AO20:AO22"/>
    <mergeCell ref="D23:D25"/>
    <mergeCell ref="D17:D18"/>
    <mergeCell ref="S29:S31"/>
    <mergeCell ref="AO53:AO55"/>
    <mergeCell ref="AO56:AO58"/>
    <mergeCell ref="S56:S58"/>
    <mergeCell ref="S59:S61"/>
    <mergeCell ref="S47:S49"/>
    <mergeCell ref="S50:S52"/>
    <mergeCell ref="S41:S43"/>
    <mergeCell ref="D32:D34"/>
    <mergeCell ref="D35:D37"/>
    <mergeCell ref="D47:D49"/>
    <mergeCell ref="D50:D52"/>
    <mergeCell ref="D53:D55"/>
    <mergeCell ref="S44:S46"/>
    <mergeCell ref="AO29:AO31"/>
    <mergeCell ref="AO32:AO34"/>
    <mergeCell ref="S53:S55"/>
    <mergeCell ref="D38:D40"/>
    <mergeCell ref="D41:D43"/>
    <mergeCell ref="S35:S37"/>
    <mergeCell ref="D44:D46"/>
    <mergeCell ref="AO35:AO37"/>
    <mergeCell ref="AO38:AO40"/>
    <mergeCell ref="AO41:AO43"/>
    <mergeCell ref="AO44:AO46"/>
    <mergeCell ref="AO47:AO49"/>
    <mergeCell ref="A1:R1"/>
    <mergeCell ref="D4:D9"/>
    <mergeCell ref="E6:G6"/>
    <mergeCell ref="N6:N9"/>
    <mergeCell ref="I6:I9"/>
    <mergeCell ref="J6:J9"/>
    <mergeCell ref="F8:F9"/>
    <mergeCell ref="M6:M9"/>
    <mergeCell ref="O4:O9"/>
    <mergeCell ref="A2:R2"/>
    <mergeCell ref="A3:R3"/>
    <mergeCell ref="A4:A9"/>
    <mergeCell ref="B4:B9"/>
    <mergeCell ref="C4:C9"/>
    <mergeCell ref="P4:Q5"/>
    <mergeCell ref="R4:R9"/>
    <mergeCell ref="E5:N5"/>
    <mergeCell ref="K6:K9"/>
    <mergeCell ref="L6:L9"/>
    <mergeCell ref="H6:H9"/>
    <mergeCell ref="S14:S15"/>
    <mergeCell ref="AR8:AT8"/>
    <mergeCell ref="S4:S9"/>
    <mergeCell ref="W7:W9"/>
    <mergeCell ref="V7:V9"/>
    <mergeCell ref="X6:Z6"/>
    <mergeCell ref="AO5:AO9"/>
    <mergeCell ref="AO14:AO15"/>
    <mergeCell ref="T7:T9"/>
    <mergeCell ref="U7:U9"/>
    <mergeCell ref="AV8:AV9"/>
    <mergeCell ref="AQ8:AQ9"/>
    <mergeCell ref="AW5:BA5"/>
    <mergeCell ref="AJ6:AN6"/>
    <mergeCell ref="AP6:AV6"/>
    <mergeCell ref="AP8:AP9"/>
    <mergeCell ref="AW8:AW9"/>
    <mergeCell ref="AX8:AX9"/>
    <mergeCell ref="AP7:AT7"/>
    <mergeCell ref="BG4:BM4"/>
    <mergeCell ref="BG5:BM5"/>
    <mergeCell ref="E4:N4"/>
    <mergeCell ref="BB5:BB9"/>
    <mergeCell ref="BF5:BF9"/>
    <mergeCell ref="P6:P9"/>
    <mergeCell ref="Q6:Q9"/>
    <mergeCell ref="BG6:BG9"/>
    <mergeCell ref="BK6:BK9"/>
    <mergeCell ref="BH6:BH9"/>
    <mergeCell ref="BL6:BL9"/>
    <mergeCell ref="BM6:BM9"/>
    <mergeCell ref="BI6:BI9"/>
    <mergeCell ref="BJ6:BJ9"/>
    <mergeCell ref="AA6:AI6"/>
    <mergeCell ref="T4:BF4"/>
    <mergeCell ref="T5:W5"/>
    <mergeCell ref="T6:W6"/>
    <mergeCell ref="BD5:BD9"/>
    <mergeCell ref="E7:G7"/>
    <mergeCell ref="E8:E9"/>
    <mergeCell ref="G8:G9"/>
    <mergeCell ref="AJ7:AN8"/>
    <mergeCell ref="AY7:AZ7"/>
    <mergeCell ref="D56:D58"/>
    <mergeCell ref="D59:D61"/>
    <mergeCell ref="D83:D85"/>
    <mergeCell ref="D62:D64"/>
    <mergeCell ref="D74:D76"/>
    <mergeCell ref="D77:D79"/>
    <mergeCell ref="D65:D67"/>
    <mergeCell ref="D68:D70"/>
    <mergeCell ref="BA1:BF1"/>
    <mergeCell ref="T2:X2"/>
    <mergeCell ref="D29:D31"/>
    <mergeCell ref="D14:D15"/>
    <mergeCell ref="D20:D22"/>
    <mergeCell ref="BC5:BC9"/>
    <mergeCell ref="BE5:BE9"/>
    <mergeCell ref="BA8:BA9"/>
    <mergeCell ref="AY8:AZ9"/>
    <mergeCell ref="AU8:AU9"/>
    <mergeCell ref="X5:AN5"/>
    <mergeCell ref="AP5:AV5"/>
    <mergeCell ref="AA7:AI8"/>
    <mergeCell ref="X7:Z8"/>
    <mergeCell ref="AW6:AZ6"/>
    <mergeCell ref="BA6:BA7"/>
    <mergeCell ref="AO68:AO70"/>
    <mergeCell ref="BN68:BN70"/>
    <mergeCell ref="A87:R87"/>
    <mergeCell ref="D80:D82"/>
    <mergeCell ref="D71:D73"/>
    <mergeCell ref="S83:S85"/>
    <mergeCell ref="AO83:AO85"/>
    <mergeCell ref="BN74:BN76"/>
    <mergeCell ref="BN77:BN79"/>
    <mergeCell ref="BN80:BN82"/>
    <mergeCell ref="S71:S73"/>
    <mergeCell ref="S74:S76"/>
    <mergeCell ref="S77:S79"/>
    <mergeCell ref="S80:S82"/>
    <mergeCell ref="S68:S70"/>
    <mergeCell ref="AO71:AO73"/>
    <mergeCell ref="AO74:AO76"/>
    <mergeCell ref="AO77:AO79"/>
    <mergeCell ref="AO80:AO82"/>
    <mergeCell ref="BN83:BN85"/>
  </mergeCells>
  <phoneticPr fontId="2" type="noConversion"/>
  <pageMargins left="0" right="0" top="0.19685039370078741" bottom="7.874015748031496E-2" header="0.1574803149606299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8">
    <tabColor rgb="FFFF0000"/>
  </sheetPr>
  <dimension ref="A1:BM24"/>
  <sheetViews>
    <sheetView topLeftCell="AR1" zoomScale="80" zoomScaleNormal="80" workbookViewId="0">
      <pane ySplit="9" topLeftCell="A10" activePane="bottomLeft" state="frozen"/>
      <selection pane="bottomLeft" activeCell="BP1" sqref="BP1:BP65536"/>
    </sheetView>
  </sheetViews>
  <sheetFormatPr defaultRowHeight="12.75" outlineLevelCol="1"/>
  <cols>
    <col min="1" max="1" width="35.7109375" style="3" customWidth="1"/>
    <col min="2" max="2" width="14.28515625" style="3" customWidth="1"/>
    <col min="3" max="3" width="10.5703125" style="3" customWidth="1"/>
    <col min="4" max="4" width="24.5703125" style="3" customWidth="1"/>
    <col min="5" max="5" width="13" style="3" customWidth="1"/>
    <col min="6" max="6" width="10.7109375" style="3" customWidth="1"/>
    <col min="7" max="7" width="10.5703125" style="3" customWidth="1"/>
    <col min="8" max="8" width="10.7109375" style="3" customWidth="1"/>
    <col min="9" max="9" width="9.42578125" style="3" customWidth="1"/>
    <col min="10" max="15" width="9" style="3" customWidth="1"/>
    <col min="16" max="18" width="10.85546875" style="3" customWidth="1"/>
    <col min="19" max="19" width="10.7109375" style="3" customWidth="1"/>
    <col min="20" max="20" width="22.140625" style="3" customWidth="1"/>
    <col min="21" max="21" width="13.85546875" style="17" customWidth="1"/>
    <col min="22" max="22" width="13.140625" style="17" customWidth="1"/>
    <col min="23" max="23" width="13.5703125" style="17" customWidth="1"/>
    <col min="24" max="24" width="13.42578125" style="17" customWidth="1"/>
    <col min="25" max="25" width="12.5703125" style="17" customWidth="1"/>
    <col min="26" max="26" width="13.140625" style="17" customWidth="1"/>
    <col min="27" max="27" width="10.7109375" style="17" customWidth="1"/>
    <col min="28" max="28" width="10" style="17" customWidth="1"/>
    <col min="29" max="29" width="9.42578125" style="17" customWidth="1"/>
    <col min="30" max="30" width="11.5703125" style="17" customWidth="1"/>
    <col min="31" max="31" width="11.28515625" style="17" customWidth="1"/>
    <col min="32" max="32" width="11.140625" style="17" customWidth="1"/>
    <col min="33" max="33" width="10.5703125" style="17" customWidth="1"/>
    <col min="34" max="34" width="10" style="17" customWidth="1"/>
    <col min="35" max="35" width="10.7109375" style="17" customWidth="1"/>
    <col min="36" max="36" width="11.85546875" style="17" customWidth="1"/>
    <col min="37" max="37" width="6.85546875" style="17" customWidth="1"/>
    <col min="38" max="38" width="11.28515625" style="17" customWidth="1"/>
    <col min="39" max="39" width="10.28515625" style="17" customWidth="1"/>
    <col min="40" max="40" width="9.28515625" style="17" hidden="1" customWidth="1"/>
    <col min="41" max="41" width="23.85546875" style="3" customWidth="1"/>
    <col min="42" max="42" width="10.5703125" style="17" customWidth="1"/>
    <col min="43" max="43" width="9.42578125" style="17" customWidth="1"/>
    <col min="44" max="44" width="10.85546875" style="17" customWidth="1"/>
    <col min="45" max="45" width="4.85546875" style="17" customWidth="1"/>
    <col min="46" max="46" width="4.42578125" style="17" customWidth="1"/>
    <col min="47" max="47" width="9.7109375" style="17" customWidth="1"/>
    <col min="48" max="48" width="12" style="17" customWidth="1"/>
    <col min="49" max="49" width="13.140625" style="17" customWidth="1"/>
    <col min="50" max="50" width="12" style="5" customWidth="1"/>
    <col min="51" max="52" width="9.28515625" style="5" hidden="1" customWidth="1" outlineLevel="1"/>
    <col min="53" max="53" width="10.42578125" style="5" customWidth="1" collapsed="1"/>
    <col min="54" max="54" width="11.140625" style="5" customWidth="1"/>
    <col min="55" max="55" width="14.5703125" style="5" customWidth="1"/>
    <col min="56" max="56" width="12.28515625" style="5" customWidth="1"/>
    <col min="57" max="57" width="13.28515625" style="18" customWidth="1"/>
    <col min="58" max="58" width="11" style="16" customWidth="1"/>
    <col min="59" max="59" width="9.5703125" customWidth="1"/>
    <col min="60" max="60" width="9.28515625" customWidth="1"/>
    <col min="61" max="61" width="9.42578125" customWidth="1"/>
    <col min="62" max="62" width="11.140625" customWidth="1"/>
    <col min="63" max="63" width="9.85546875" customWidth="1"/>
    <col min="64" max="65" width="10.28515625" customWidth="1"/>
  </cols>
  <sheetData>
    <row r="1" spans="1:65" ht="22.5" customHeight="1">
      <c r="A1" s="686" t="s">
        <v>407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AW1" s="906"/>
      <c r="AX1" s="906"/>
      <c r="AY1" s="906"/>
      <c r="AZ1" s="906"/>
      <c r="BA1" s="1007"/>
      <c r="BB1" s="1007"/>
      <c r="BC1" s="1007"/>
      <c r="BD1" s="1007"/>
      <c r="BE1" s="1007"/>
      <c r="BF1" s="1007"/>
    </row>
    <row r="2" spans="1:65" ht="34.5" customHeight="1">
      <c r="A2" s="1010" t="s">
        <v>305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6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6"/>
      <c r="AP2" s="19"/>
      <c r="AQ2" s="19"/>
      <c r="AR2" s="19"/>
      <c r="AS2" s="19"/>
      <c r="AT2" s="19"/>
      <c r="AU2" s="19"/>
      <c r="AV2" s="19"/>
      <c r="AW2" s="19"/>
    </row>
    <row r="3" spans="1:65" ht="28.5" customHeight="1">
      <c r="A3" s="871" t="s">
        <v>301</v>
      </c>
      <c r="B3" s="871" t="s">
        <v>2</v>
      </c>
      <c r="C3" s="871" t="s">
        <v>285</v>
      </c>
      <c r="D3" s="673" t="s">
        <v>68</v>
      </c>
      <c r="E3" s="948" t="s">
        <v>306</v>
      </c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667" t="s">
        <v>55</v>
      </c>
      <c r="Q3" s="785" t="s">
        <v>56</v>
      </c>
      <c r="R3" s="1004"/>
      <c r="S3" s="1012" t="s">
        <v>286</v>
      </c>
      <c r="T3" s="673" t="s">
        <v>68</v>
      </c>
      <c r="U3" s="682" t="s">
        <v>60</v>
      </c>
      <c r="V3" s="683"/>
      <c r="W3" s="683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  <c r="BA3" s="684"/>
      <c r="BB3" s="684"/>
      <c r="BC3" s="684"/>
      <c r="BD3" s="684"/>
      <c r="BE3" s="684"/>
      <c r="BF3" s="685"/>
      <c r="BG3" s="687"/>
      <c r="BH3" s="687"/>
      <c r="BI3" s="687"/>
      <c r="BJ3" s="687"/>
      <c r="BK3" s="687"/>
      <c r="BL3" s="687"/>
      <c r="BM3" s="687"/>
    </row>
    <row r="4" spans="1:65" s="1" customFormat="1" ht="54.75" customHeight="1">
      <c r="A4" s="941"/>
      <c r="B4" s="941"/>
      <c r="C4" s="941"/>
      <c r="D4" s="941"/>
      <c r="E4" s="644" t="s">
        <v>59</v>
      </c>
      <c r="F4" s="940"/>
      <c r="G4" s="940"/>
      <c r="H4" s="940"/>
      <c r="I4" s="940"/>
      <c r="J4" s="940"/>
      <c r="K4" s="940"/>
      <c r="L4" s="940"/>
      <c r="M4" s="940"/>
      <c r="N4" s="940"/>
      <c r="O4" s="940"/>
      <c r="P4" s="941"/>
      <c r="Q4" s="1005"/>
      <c r="R4" s="1006"/>
      <c r="S4" s="1013"/>
      <c r="T4" s="941"/>
      <c r="U4" s="730" t="s">
        <v>62</v>
      </c>
      <c r="V4" s="730"/>
      <c r="W4" s="730"/>
      <c r="X4" s="953"/>
      <c r="Y4" s="951" t="s">
        <v>308</v>
      </c>
      <c r="Z4" s="951"/>
      <c r="AA4" s="951"/>
      <c r="AB4" s="951"/>
      <c r="AC4" s="951"/>
      <c r="AD4" s="951"/>
      <c r="AE4" s="951"/>
      <c r="AF4" s="951"/>
      <c r="AG4" s="951"/>
      <c r="AH4" s="951"/>
      <c r="AI4" s="951"/>
      <c r="AJ4" s="951"/>
      <c r="AK4" s="951"/>
      <c r="AL4" s="951"/>
      <c r="AM4" s="951"/>
      <c r="AN4" s="951"/>
      <c r="AO4" s="673" t="s">
        <v>68</v>
      </c>
      <c r="AP4" s="735" t="s">
        <v>19</v>
      </c>
      <c r="AQ4" s="741"/>
      <c r="AR4" s="741"/>
      <c r="AS4" s="741"/>
      <c r="AT4" s="741"/>
      <c r="AU4" s="741"/>
      <c r="AV4" s="742"/>
      <c r="AW4" s="730" t="s">
        <v>19</v>
      </c>
      <c r="AX4" s="730"/>
      <c r="AY4" s="730"/>
      <c r="AZ4" s="730"/>
      <c r="BA4" s="730"/>
      <c r="BB4" s="730" t="s">
        <v>20</v>
      </c>
      <c r="BC4" s="730" t="s">
        <v>13</v>
      </c>
      <c r="BD4" s="680" t="s">
        <v>117</v>
      </c>
      <c r="BE4" s="730" t="s">
        <v>303</v>
      </c>
      <c r="BF4" s="1008" t="s">
        <v>309</v>
      </c>
      <c r="BG4" s="687" t="s">
        <v>129</v>
      </c>
      <c r="BH4" s="687"/>
      <c r="BI4" s="687"/>
      <c r="BJ4" s="687"/>
      <c r="BK4" s="687"/>
      <c r="BL4" s="687"/>
      <c r="BM4" s="687"/>
    </row>
    <row r="5" spans="1:65" s="2" customFormat="1" ht="55.5" customHeight="1">
      <c r="A5" s="941"/>
      <c r="B5" s="941"/>
      <c r="C5" s="941"/>
      <c r="D5" s="941"/>
      <c r="E5" s="644" t="s">
        <v>53</v>
      </c>
      <c r="F5" s="940"/>
      <c r="G5" s="940"/>
      <c r="H5" s="644" t="s">
        <v>27</v>
      </c>
      <c r="I5" s="644" t="s">
        <v>10</v>
      </c>
      <c r="J5" s="644" t="s">
        <v>5</v>
      </c>
      <c r="K5" s="644" t="s">
        <v>51</v>
      </c>
      <c r="L5" s="644" t="s">
        <v>20</v>
      </c>
      <c r="M5" s="644" t="s">
        <v>13</v>
      </c>
      <c r="N5" s="644" t="s">
        <v>21</v>
      </c>
      <c r="O5" s="644" t="s">
        <v>118</v>
      </c>
      <c r="P5" s="941"/>
      <c r="Q5" s="644" t="s">
        <v>16</v>
      </c>
      <c r="R5" s="644" t="s">
        <v>52</v>
      </c>
      <c r="S5" s="1013"/>
      <c r="T5" s="941"/>
      <c r="U5" s="730" t="s">
        <v>66</v>
      </c>
      <c r="V5" s="953"/>
      <c r="W5" s="953"/>
      <c r="X5" s="953"/>
      <c r="Y5" s="730" t="s">
        <v>63</v>
      </c>
      <c r="Z5" s="730"/>
      <c r="AA5" s="730"/>
      <c r="AB5" s="738">
        <v>340</v>
      </c>
      <c r="AC5" s="738"/>
      <c r="AD5" s="738"/>
      <c r="AE5" s="738"/>
      <c r="AF5" s="738"/>
      <c r="AG5" s="738"/>
      <c r="AH5" s="738"/>
      <c r="AI5" s="738"/>
      <c r="AJ5" s="730" t="s">
        <v>4</v>
      </c>
      <c r="AK5" s="730"/>
      <c r="AL5" s="730"/>
      <c r="AM5" s="730"/>
      <c r="AN5" s="730"/>
      <c r="AO5" s="941"/>
      <c r="AP5" s="735" t="s">
        <v>5</v>
      </c>
      <c r="AQ5" s="741"/>
      <c r="AR5" s="741"/>
      <c r="AS5" s="741"/>
      <c r="AT5" s="741"/>
      <c r="AU5" s="741"/>
      <c r="AV5" s="742"/>
      <c r="AW5" s="730" t="s">
        <v>6</v>
      </c>
      <c r="AX5" s="954"/>
      <c r="AY5" s="953"/>
      <c r="AZ5" s="953"/>
      <c r="BA5" s="738">
        <v>290</v>
      </c>
      <c r="BB5" s="730"/>
      <c r="BC5" s="730"/>
      <c r="BD5" s="680"/>
      <c r="BE5" s="730"/>
      <c r="BF5" s="1008"/>
      <c r="BG5" s="691">
        <v>2110</v>
      </c>
      <c r="BH5" s="691">
        <v>2130</v>
      </c>
      <c r="BI5" s="691">
        <v>2230</v>
      </c>
      <c r="BJ5" s="691">
        <v>7500</v>
      </c>
      <c r="BK5" s="691">
        <v>7520</v>
      </c>
      <c r="BL5" s="691">
        <v>7660</v>
      </c>
      <c r="BM5" s="691" t="s">
        <v>130</v>
      </c>
    </row>
    <row r="6" spans="1:65" s="2" customFormat="1" ht="51" customHeight="1">
      <c r="A6" s="941"/>
      <c r="B6" s="941"/>
      <c r="C6" s="941"/>
      <c r="D6" s="941"/>
      <c r="E6" s="644" t="s">
        <v>307</v>
      </c>
      <c r="F6" s="644"/>
      <c r="G6" s="644"/>
      <c r="H6" s="940"/>
      <c r="I6" s="940"/>
      <c r="J6" s="940"/>
      <c r="K6" s="940"/>
      <c r="L6" s="940"/>
      <c r="M6" s="940"/>
      <c r="N6" s="940"/>
      <c r="O6" s="940"/>
      <c r="P6" s="941"/>
      <c r="Q6" s="940"/>
      <c r="R6" s="940"/>
      <c r="S6" s="1013"/>
      <c r="T6" s="941"/>
      <c r="U6" s="730" t="s">
        <v>3</v>
      </c>
      <c r="V6" s="730" t="s">
        <v>64</v>
      </c>
      <c r="W6" s="730" t="s">
        <v>12</v>
      </c>
      <c r="X6" s="730" t="s">
        <v>65</v>
      </c>
      <c r="Y6" s="730" t="s">
        <v>16</v>
      </c>
      <c r="Z6" s="730"/>
      <c r="AA6" s="730"/>
      <c r="AB6" s="730" t="s">
        <v>27</v>
      </c>
      <c r="AC6" s="730"/>
      <c r="AD6" s="730"/>
      <c r="AE6" s="730"/>
      <c r="AF6" s="730"/>
      <c r="AG6" s="730"/>
      <c r="AH6" s="730"/>
      <c r="AI6" s="730"/>
      <c r="AJ6" s="730" t="s">
        <v>10</v>
      </c>
      <c r="AK6" s="730"/>
      <c r="AL6" s="730"/>
      <c r="AM6" s="730"/>
      <c r="AN6" s="730"/>
      <c r="AO6" s="941"/>
      <c r="AP6" s="738">
        <v>225</v>
      </c>
      <c r="AQ6" s="738"/>
      <c r="AR6" s="738"/>
      <c r="AS6" s="738"/>
      <c r="AT6" s="738"/>
      <c r="AU6" s="78">
        <v>290</v>
      </c>
      <c r="AV6" s="78">
        <v>224</v>
      </c>
      <c r="AW6" s="60" t="s">
        <v>4</v>
      </c>
      <c r="AX6" s="60" t="s">
        <v>4</v>
      </c>
      <c r="AY6" s="730" t="s">
        <v>4</v>
      </c>
      <c r="AZ6" s="730"/>
      <c r="BA6" s="738"/>
      <c r="BB6" s="730"/>
      <c r="BC6" s="730"/>
      <c r="BD6" s="680"/>
      <c r="BE6" s="730"/>
      <c r="BF6" s="1008"/>
      <c r="BG6" s="691"/>
      <c r="BH6" s="691"/>
      <c r="BI6" s="691"/>
      <c r="BJ6" s="691"/>
      <c r="BK6" s="691"/>
      <c r="BL6" s="691"/>
      <c r="BM6" s="691"/>
    </row>
    <row r="7" spans="1:65" s="2" customFormat="1" ht="66.75" customHeight="1">
      <c r="A7" s="941"/>
      <c r="B7" s="941"/>
      <c r="C7" s="941"/>
      <c r="D7" s="941"/>
      <c r="E7" s="644" t="s">
        <v>3</v>
      </c>
      <c r="F7" s="644" t="s">
        <v>12</v>
      </c>
      <c r="G7" s="644" t="s">
        <v>11</v>
      </c>
      <c r="H7" s="940"/>
      <c r="I7" s="940"/>
      <c r="J7" s="940"/>
      <c r="K7" s="940"/>
      <c r="L7" s="940"/>
      <c r="M7" s="940"/>
      <c r="N7" s="940"/>
      <c r="O7" s="940"/>
      <c r="P7" s="941"/>
      <c r="Q7" s="940"/>
      <c r="R7" s="940"/>
      <c r="S7" s="1013"/>
      <c r="T7" s="941"/>
      <c r="U7" s="953"/>
      <c r="V7" s="953"/>
      <c r="W7" s="953"/>
      <c r="X7" s="953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941"/>
      <c r="AP7" s="730" t="s">
        <v>28</v>
      </c>
      <c r="AQ7" s="730" t="s">
        <v>29</v>
      </c>
      <c r="AR7" s="730" t="s">
        <v>119</v>
      </c>
      <c r="AS7" s="730"/>
      <c r="AT7" s="730"/>
      <c r="AU7" s="730" t="s">
        <v>31</v>
      </c>
      <c r="AV7" s="730" t="s">
        <v>7</v>
      </c>
      <c r="AW7" s="730" t="s">
        <v>386</v>
      </c>
      <c r="AX7" s="1009" t="s">
        <v>387</v>
      </c>
      <c r="AY7" s="730" t="s">
        <v>34</v>
      </c>
      <c r="AZ7" s="730"/>
      <c r="BA7" s="730" t="s">
        <v>120</v>
      </c>
      <c r="BB7" s="730"/>
      <c r="BC7" s="730"/>
      <c r="BD7" s="680"/>
      <c r="BE7" s="730"/>
      <c r="BF7" s="1008"/>
      <c r="BG7" s="691"/>
      <c r="BH7" s="691"/>
      <c r="BI7" s="691"/>
      <c r="BJ7" s="691"/>
      <c r="BK7" s="691"/>
      <c r="BL7" s="691"/>
      <c r="BM7" s="691"/>
    </row>
    <row r="8" spans="1:65" s="2" customFormat="1" ht="26.25" customHeight="1">
      <c r="A8" s="941"/>
      <c r="B8" s="941"/>
      <c r="C8" s="941"/>
      <c r="D8" s="941"/>
      <c r="E8" s="644"/>
      <c r="F8" s="644"/>
      <c r="G8" s="644"/>
      <c r="H8" s="940"/>
      <c r="I8" s="940"/>
      <c r="J8" s="940"/>
      <c r="K8" s="940"/>
      <c r="L8" s="940"/>
      <c r="M8" s="940"/>
      <c r="N8" s="940"/>
      <c r="O8" s="940"/>
      <c r="P8" s="941"/>
      <c r="Q8" s="940"/>
      <c r="R8" s="940"/>
      <c r="S8" s="1013"/>
      <c r="T8" s="941"/>
      <c r="U8" s="953"/>
      <c r="V8" s="953"/>
      <c r="W8" s="953"/>
      <c r="X8" s="953"/>
      <c r="Y8" s="730" t="s">
        <v>9</v>
      </c>
      <c r="Z8" s="730" t="s">
        <v>17</v>
      </c>
      <c r="AA8" s="730" t="s">
        <v>18</v>
      </c>
      <c r="AB8" s="730" t="s">
        <v>36</v>
      </c>
      <c r="AC8" s="730" t="s">
        <v>419</v>
      </c>
      <c r="AD8" s="730" t="s">
        <v>38</v>
      </c>
      <c r="AE8" s="730" t="s">
        <v>39</v>
      </c>
      <c r="AF8" s="730" t="s">
        <v>14</v>
      </c>
      <c r="AG8" s="730" t="s">
        <v>41</v>
      </c>
      <c r="AH8" s="730" t="s">
        <v>15</v>
      </c>
      <c r="AI8" s="730" t="s">
        <v>42</v>
      </c>
      <c r="AJ8" s="730" t="s">
        <v>43</v>
      </c>
      <c r="AK8" s="730" t="s">
        <v>44</v>
      </c>
      <c r="AL8" s="730" t="s">
        <v>388</v>
      </c>
      <c r="AM8" s="730" t="s">
        <v>46</v>
      </c>
      <c r="AN8" s="730" t="s">
        <v>47</v>
      </c>
      <c r="AO8" s="941"/>
      <c r="AP8" s="730"/>
      <c r="AQ8" s="730"/>
      <c r="AR8" s="730" t="s">
        <v>48</v>
      </c>
      <c r="AS8" s="730" t="s">
        <v>121</v>
      </c>
      <c r="AT8" s="730" t="s">
        <v>50</v>
      </c>
      <c r="AU8" s="730"/>
      <c r="AV8" s="730"/>
      <c r="AW8" s="730"/>
      <c r="AX8" s="1009"/>
      <c r="AY8" s="730"/>
      <c r="AZ8" s="730"/>
      <c r="BA8" s="730"/>
      <c r="BB8" s="730"/>
      <c r="BC8" s="730"/>
      <c r="BD8" s="680"/>
      <c r="BE8" s="730"/>
      <c r="BF8" s="1008"/>
      <c r="BG8" s="691"/>
      <c r="BH8" s="691"/>
      <c r="BI8" s="691"/>
      <c r="BJ8" s="691"/>
      <c r="BK8" s="691"/>
      <c r="BL8" s="691"/>
      <c r="BM8" s="691"/>
    </row>
    <row r="9" spans="1:65" s="2" customFormat="1" ht="88.5" customHeight="1">
      <c r="A9" s="942"/>
      <c r="B9" s="942"/>
      <c r="C9" s="942"/>
      <c r="D9" s="942"/>
      <c r="E9" s="644"/>
      <c r="F9" s="644"/>
      <c r="G9" s="644"/>
      <c r="H9" s="940"/>
      <c r="I9" s="940"/>
      <c r="J9" s="940"/>
      <c r="K9" s="940"/>
      <c r="L9" s="940"/>
      <c r="M9" s="940"/>
      <c r="N9" s="940"/>
      <c r="O9" s="940"/>
      <c r="P9" s="942"/>
      <c r="Q9" s="940"/>
      <c r="R9" s="940"/>
      <c r="S9" s="1014"/>
      <c r="T9" s="942"/>
      <c r="U9" s="953"/>
      <c r="V9" s="953"/>
      <c r="W9" s="953"/>
      <c r="X9" s="953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941"/>
      <c r="AP9" s="730"/>
      <c r="AQ9" s="730"/>
      <c r="AR9" s="730"/>
      <c r="AS9" s="730"/>
      <c r="AT9" s="730"/>
      <c r="AU9" s="730"/>
      <c r="AV9" s="730"/>
      <c r="AW9" s="730"/>
      <c r="AX9" s="1009"/>
      <c r="AY9" s="730"/>
      <c r="AZ9" s="730"/>
      <c r="BA9" s="730"/>
      <c r="BB9" s="730"/>
      <c r="BC9" s="730"/>
      <c r="BD9" s="680"/>
      <c r="BE9" s="730"/>
      <c r="BF9" s="1008"/>
      <c r="BG9" s="691"/>
      <c r="BH9" s="691"/>
      <c r="BI9" s="691"/>
      <c r="BJ9" s="691"/>
      <c r="BK9" s="691"/>
      <c r="BL9" s="691"/>
      <c r="BM9" s="691"/>
    </row>
    <row r="10" spans="1:65" ht="95.25" customHeight="1">
      <c r="A10" s="51" t="s">
        <v>157</v>
      </c>
      <c r="B10" s="51" t="s">
        <v>108</v>
      </c>
      <c r="C10" s="314">
        <v>11400</v>
      </c>
      <c r="D10" s="62" t="s">
        <v>116</v>
      </c>
      <c r="E10" s="53">
        <f>ROUND((U10+V10)/C10,3)</f>
        <v>3367.7420000000002</v>
      </c>
      <c r="F10" s="53">
        <f>ROUND((W10+X10)/C10,3)</f>
        <v>1499.9480000000001</v>
      </c>
      <c r="G10" s="53">
        <f>E10+F10</f>
        <v>4867.6900000000005</v>
      </c>
      <c r="H10" s="53">
        <f>ROUND((AI10-AH10)/C10,3)</f>
        <v>59.286000000000001</v>
      </c>
      <c r="I10" s="53">
        <f>ROUND((AJ10+AK10+AL10+AM10+AN10)/C10,3)</f>
        <v>51.581000000000003</v>
      </c>
      <c r="J10" s="53">
        <f>ROUND((AP10+AQ10+AR10+AS10+AT10+AV10)/C10,3)</f>
        <v>25.666</v>
      </c>
      <c r="K10" s="53">
        <f>ROUND((AW10+AX10)/C10,3)</f>
        <v>133.79400000000001</v>
      </c>
      <c r="L10" s="54">
        <f>ROUND(BB10/C10,3)</f>
        <v>14.318</v>
      </c>
      <c r="M10" s="54">
        <f>ROUND(BC10/C10,3)</f>
        <v>2515.0079999999998</v>
      </c>
      <c r="N10" s="54">
        <f>ROUND(AH10/C10,3)</f>
        <v>1.754</v>
      </c>
      <c r="O10" s="54">
        <f>ROUND(BD10/C10,3)</f>
        <v>697.18299999999999</v>
      </c>
      <c r="P10" s="53">
        <f>O10+M10+L10+K10+J10+I10+H10+G10+N10</f>
        <v>8366.2800000000025</v>
      </c>
      <c r="Q10" s="53">
        <f>ROUND((Y10+Z10+AA10)/C10,3)</f>
        <v>288.74400000000003</v>
      </c>
      <c r="R10" s="53">
        <f>ROUND(BA10/C10,3)</f>
        <v>2.3679999999999999</v>
      </c>
      <c r="S10" s="66">
        <f>P10+Q10+R10</f>
        <v>8657.3920000000035</v>
      </c>
      <c r="T10" s="62" t="s">
        <v>116</v>
      </c>
      <c r="U10" s="77">
        <v>29487115</v>
      </c>
      <c r="V10" s="77">
        <v>8905143</v>
      </c>
      <c r="W10" s="77">
        <f>13133185-0.41</f>
        <v>13133184.59</v>
      </c>
      <c r="X10" s="77">
        <v>3966222.01</v>
      </c>
      <c r="Y10" s="77">
        <v>1148503</v>
      </c>
      <c r="Z10" s="77">
        <v>2076138</v>
      </c>
      <c r="AA10" s="77">
        <v>67046</v>
      </c>
      <c r="AB10" s="77">
        <v>81034.2</v>
      </c>
      <c r="AC10" s="77">
        <v>79518</v>
      </c>
      <c r="AD10" s="77">
        <v>115710.89</v>
      </c>
      <c r="AE10" s="77">
        <v>109226</v>
      </c>
      <c r="AF10" s="77">
        <v>183052.26</v>
      </c>
      <c r="AG10" s="77">
        <v>107324.53</v>
      </c>
      <c r="AH10" s="77">
        <v>20000</v>
      </c>
      <c r="AI10" s="77">
        <f>AB10+AC10+AD10+AE10+AF10+AG10+AH10</f>
        <v>695865.88000000012</v>
      </c>
      <c r="AJ10" s="77">
        <v>160000</v>
      </c>
      <c r="AK10" s="77">
        <v>0</v>
      </c>
      <c r="AL10" s="77">
        <v>415022.11</v>
      </c>
      <c r="AM10" s="77">
        <v>13000</v>
      </c>
      <c r="AN10" s="77"/>
      <c r="AO10" s="62" t="s">
        <v>116</v>
      </c>
      <c r="AP10" s="77">
        <v>54000</v>
      </c>
      <c r="AQ10" s="77">
        <v>33600</v>
      </c>
      <c r="AR10" s="77">
        <v>164031.47</v>
      </c>
      <c r="AS10" s="77"/>
      <c r="AT10" s="77"/>
      <c r="AU10" s="77"/>
      <c r="AV10" s="77">
        <v>40964.86</v>
      </c>
      <c r="AW10" s="77">
        <v>1482368.53</v>
      </c>
      <c r="AX10" s="77">
        <v>42877.89</v>
      </c>
      <c r="AY10" s="77">
        <v>0</v>
      </c>
      <c r="AZ10" s="77">
        <v>0</v>
      </c>
      <c r="BA10" s="77">
        <v>27000</v>
      </c>
      <c r="BB10" s="77">
        <v>163220</v>
      </c>
      <c r="BC10" s="77">
        <v>28671089</v>
      </c>
      <c r="BD10" s="77">
        <v>7947885</v>
      </c>
      <c r="BE10" s="77">
        <f>U10+V10+W10+X10+Y10+Z10+AA10+AI10+AJ10+AK10+AL10+AM10+AP10+AQ10+AR10+AS10+AT10+AU10+AV10+AW10+AX10+AY10+AZ10+BA10+BB10+BC10+BD10</f>
        <v>98694276.340000004</v>
      </c>
      <c r="BF10" s="67">
        <f>ROUND(BE10/C10,2)</f>
        <v>8657.39</v>
      </c>
      <c r="BG10" s="612">
        <f>U10+W10</f>
        <v>42620299.590000004</v>
      </c>
      <c r="BH10" s="612">
        <f>V10+X10</f>
        <v>12871365.01</v>
      </c>
      <c r="BI10" s="612">
        <f>Y10+Z10+AA10</f>
        <v>3291687</v>
      </c>
      <c r="BJ10" s="612">
        <f>BC10</f>
        <v>28671089</v>
      </c>
      <c r="BK10" s="612">
        <f>BB10+BD10</f>
        <v>8111105</v>
      </c>
      <c r="BL10" s="612">
        <f>AI10+AJ10+AL10+AP10+AQ10+AR10+AS10+AT10+AU10+AV10+AW10+AX10+AY10+AZ10+BA10+AM10</f>
        <v>3128730.7400000007</v>
      </c>
      <c r="BM10" s="612">
        <f>BG10+BH10+BI10+BJ10+BK10+BL10</f>
        <v>98694276.339999989</v>
      </c>
    </row>
    <row r="11" spans="1:65" ht="32.25" customHeight="1"/>
    <row r="12" spans="1:65" ht="30.75" customHeight="1">
      <c r="AX12" s="17"/>
      <c r="AY12" s="17"/>
      <c r="AZ12" s="17"/>
      <c r="BA12" s="17"/>
    </row>
    <row r="13" spans="1:65">
      <c r="W13" s="86"/>
    </row>
    <row r="14" spans="1:65" ht="15.75" customHeight="1"/>
    <row r="15" spans="1:65" ht="31.5" customHeight="1"/>
    <row r="24" spans="50:50">
      <c r="AX24" s="5" t="s">
        <v>274</v>
      </c>
    </row>
  </sheetData>
  <mergeCells count="92">
    <mergeCell ref="A1:R1"/>
    <mergeCell ref="U6:U9"/>
    <mergeCell ref="Y6:AA7"/>
    <mergeCell ref="A2:S2"/>
    <mergeCell ref="E6:G6"/>
    <mergeCell ref="E4:O4"/>
    <mergeCell ref="J5:J9"/>
    <mergeCell ref="U5:X5"/>
    <mergeCell ref="F7:F9"/>
    <mergeCell ref="S3:S9"/>
    <mergeCell ref="E3:O3"/>
    <mergeCell ref="H5:H9"/>
    <mergeCell ref="U4:X4"/>
    <mergeCell ref="A3:A9"/>
    <mergeCell ref="B3:B9"/>
    <mergeCell ref="C3:C9"/>
    <mergeCell ref="AW1:BF1"/>
    <mergeCell ref="AJ5:AN5"/>
    <mergeCell ref="AP5:AV5"/>
    <mergeCell ref="BA5:BA6"/>
    <mergeCell ref="BF4:BF9"/>
    <mergeCell ref="AY6:AZ6"/>
    <mergeCell ref="AY7:AZ9"/>
    <mergeCell ref="AJ6:AN7"/>
    <mergeCell ref="AX7:AX9"/>
    <mergeCell ref="AW5:AZ5"/>
    <mergeCell ref="AR7:AT7"/>
    <mergeCell ref="AP6:AT6"/>
    <mergeCell ref="BE4:BE9"/>
    <mergeCell ref="BA7:BA9"/>
    <mergeCell ref="AW4:BA4"/>
    <mergeCell ref="BC4:BC9"/>
    <mergeCell ref="AU7:AU9"/>
    <mergeCell ref="AT8:AT9"/>
    <mergeCell ref="AB5:AI5"/>
    <mergeCell ref="P3:P9"/>
    <mergeCell ref="Q3:R4"/>
    <mergeCell ref="AQ7:AQ9"/>
    <mergeCell ref="AR8:AR9"/>
    <mergeCell ref="AB6:AI7"/>
    <mergeCell ref="AO4:AO9"/>
    <mergeCell ref="AK8:AK9"/>
    <mergeCell ref="R5:R9"/>
    <mergeCell ref="Z8:Z9"/>
    <mergeCell ref="D3:D9"/>
    <mergeCell ref="V6:V9"/>
    <mergeCell ref="AI8:AI9"/>
    <mergeCell ref="AF8:AF9"/>
    <mergeCell ref="AC8:AC9"/>
    <mergeCell ref="AE8:AE9"/>
    <mergeCell ref="AH8:AH9"/>
    <mergeCell ref="E5:G5"/>
    <mergeCell ref="I5:I9"/>
    <mergeCell ref="N5:N9"/>
    <mergeCell ref="M5:M9"/>
    <mergeCell ref="Q5:Q9"/>
    <mergeCell ref="L5:L9"/>
    <mergeCell ref="O5:O9"/>
    <mergeCell ref="G7:G9"/>
    <mergeCell ref="E7:E9"/>
    <mergeCell ref="K5:K9"/>
    <mergeCell ref="Y5:AA5"/>
    <mergeCell ref="T3:T9"/>
    <mergeCell ref="X6:X9"/>
    <mergeCell ref="AA8:AA9"/>
    <mergeCell ref="Y8:Y9"/>
    <mergeCell ref="W6:W9"/>
    <mergeCell ref="U3:BF3"/>
    <mergeCell ref="AB8:AB9"/>
    <mergeCell ref="AD8:AD9"/>
    <mergeCell ref="AW7:AW9"/>
    <mergeCell ref="BD4:BD9"/>
    <mergeCell ref="AP7:AP9"/>
    <mergeCell ref="BB4:BB9"/>
    <mergeCell ref="AS8:AS9"/>
    <mergeCell ref="AL8:AL9"/>
    <mergeCell ref="BH5:BH9"/>
    <mergeCell ref="AG8:AG9"/>
    <mergeCell ref="AJ8:AJ9"/>
    <mergeCell ref="BG3:BM3"/>
    <mergeCell ref="BG4:BM4"/>
    <mergeCell ref="BL5:BL9"/>
    <mergeCell ref="BM5:BM9"/>
    <mergeCell ref="BK5:BK9"/>
    <mergeCell ref="BI5:BI9"/>
    <mergeCell ref="BJ5:BJ9"/>
    <mergeCell ref="BG5:BG9"/>
    <mergeCell ref="AM8:AM9"/>
    <mergeCell ref="AN8:AN9"/>
    <mergeCell ref="Y4:AN4"/>
    <mergeCell ref="AV7:AV9"/>
    <mergeCell ref="AP4:AV4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BN19"/>
  <sheetViews>
    <sheetView topLeftCell="Q1" zoomScale="80" zoomScaleNormal="80" workbookViewId="0">
      <pane ySplit="10" topLeftCell="A11" activePane="bottomLeft" state="frozen"/>
      <selection pane="bottomLeft" activeCell="T11" sqref="T11"/>
    </sheetView>
  </sheetViews>
  <sheetFormatPr defaultRowHeight="12.75"/>
  <cols>
    <col min="1" max="1" width="43.28515625" style="3" customWidth="1"/>
    <col min="2" max="2" width="19.140625" style="3" customWidth="1"/>
    <col min="3" max="3" width="16" style="27" customWidth="1"/>
    <col min="4" max="4" width="19.42578125" style="3" customWidth="1"/>
    <col min="5" max="5" width="10.140625" style="3" customWidth="1"/>
    <col min="6" max="6" width="9.28515625" style="3" customWidth="1"/>
    <col min="7" max="7" width="10.7109375" style="3" customWidth="1"/>
    <col min="8" max="8" width="8.85546875" style="3" customWidth="1"/>
    <col min="9" max="9" width="9.42578125" style="3" customWidth="1"/>
    <col min="10" max="14" width="9" style="3" customWidth="1"/>
    <col min="15" max="15" width="11.140625" style="3" customWidth="1"/>
    <col min="16" max="16" width="10.85546875" style="3" customWidth="1"/>
    <col min="17" max="17" width="11.7109375" style="3" customWidth="1"/>
    <col min="18" max="18" width="12" style="3" customWidth="1"/>
    <col min="19" max="19" width="17.85546875" style="3" customWidth="1"/>
    <col min="20" max="20" width="12.42578125" style="17" customWidth="1"/>
    <col min="21" max="21" width="13.140625" style="17" customWidth="1"/>
    <col min="22" max="22" width="13.5703125" style="17" customWidth="1"/>
    <col min="23" max="23" width="13.42578125" style="17" customWidth="1"/>
    <col min="24" max="25" width="11" style="17" customWidth="1"/>
    <col min="26" max="26" width="13" style="17" customWidth="1"/>
    <col min="27" max="27" width="9.42578125" style="17" customWidth="1"/>
    <col min="28" max="28" width="11.7109375" style="173" customWidth="1"/>
    <col min="29" max="29" width="10.140625" style="173" customWidth="1"/>
    <col min="30" max="30" width="8.42578125" style="173" customWidth="1"/>
    <col min="31" max="31" width="9.42578125" style="173" customWidth="1"/>
    <col min="32" max="32" width="8.5703125" style="173" customWidth="1"/>
    <col min="33" max="33" width="10" style="173" customWidth="1"/>
    <col min="34" max="34" width="10.5703125" style="173" customWidth="1"/>
    <col min="35" max="35" width="9.85546875" style="173" customWidth="1"/>
    <col min="36" max="36" width="10.7109375" style="173" customWidth="1"/>
    <col min="37" max="37" width="11.85546875" style="173" customWidth="1"/>
    <col min="38" max="39" width="9.5703125" style="173" customWidth="1"/>
    <col min="40" max="40" width="8.85546875" style="173" customWidth="1"/>
    <col min="41" max="41" width="6.28515625" style="17" hidden="1" customWidth="1"/>
    <col min="42" max="42" width="15.5703125" style="3" customWidth="1"/>
    <col min="43" max="43" width="10.5703125" style="173" customWidth="1"/>
    <col min="44" max="44" width="10.28515625" style="173" customWidth="1"/>
    <col min="45" max="45" width="9" style="173" customWidth="1"/>
    <col min="46" max="46" width="9.7109375" style="173" customWidth="1"/>
    <col min="47" max="47" width="8.28515625" style="173" customWidth="1"/>
    <col min="48" max="48" width="11.5703125" style="173" customWidth="1"/>
    <col min="49" max="49" width="8.5703125" style="173" customWidth="1"/>
    <col min="50" max="50" width="11.28515625" style="173" customWidth="1"/>
    <col min="51" max="51" width="10.140625" style="18" customWidth="1"/>
    <col min="52" max="52" width="6.28515625" style="18" hidden="1" customWidth="1"/>
    <col min="53" max="53" width="5.85546875" style="18" hidden="1" customWidth="1"/>
    <col min="54" max="54" width="9.28515625" style="18" customWidth="1"/>
    <col min="55" max="55" width="9.85546875" style="18" customWidth="1"/>
    <col min="56" max="56" width="6.85546875" style="18" customWidth="1"/>
    <col min="57" max="57" width="12.28515625" style="18" hidden="1" customWidth="1"/>
    <col min="58" max="58" width="14.42578125" style="18" customWidth="1"/>
    <col min="59" max="59" width="11" style="16" customWidth="1"/>
    <col min="60" max="60" width="14.42578125" customWidth="1"/>
    <col min="61" max="61" width="12.5703125" bestFit="1" customWidth="1"/>
    <col min="62" max="62" width="13.140625" customWidth="1"/>
    <col min="63" max="63" width="10.85546875" customWidth="1"/>
    <col min="64" max="64" width="12.140625" customWidth="1"/>
    <col min="65" max="65" width="12.7109375" customWidth="1"/>
    <col min="66" max="66" width="13.140625" bestFit="1" customWidth="1"/>
    <col min="67" max="67" width="12.42578125" bestFit="1" customWidth="1"/>
  </cols>
  <sheetData>
    <row r="1" spans="1:66" ht="15.75" customHeight="1">
      <c r="A1" s="686" t="s">
        <v>406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BD1" s="769"/>
      <c r="BE1" s="769"/>
      <c r="BF1" s="769"/>
      <c r="BG1" s="719"/>
      <c r="BH1" s="719"/>
      <c r="BI1" s="719"/>
    </row>
    <row r="2" spans="1:66">
      <c r="A2" s="1015" t="s">
        <v>302</v>
      </c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  <c r="O2" s="1016"/>
      <c r="P2" s="1016"/>
      <c r="Q2" s="1016"/>
      <c r="R2" s="1016"/>
    </row>
    <row r="3" spans="1:66" ht="30.75" customHeight="1">
      <c r="A3" s="1017"/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6"/>
      <c r="AQ3" s="19"/>
      <c r="AR3" s="19"/>
      <c r="AS3" s="19"/>
      <c r="AT3" s="19"/>
      <c r="AU3" s="19"/>
      <c r="AV3" s="19"/>
      <c r="AW3" s="19"/>
      <c r="AX3" s="19"/>
    </row>
    <row r="4" spans="1:66" ht="28.5" customHeight="1">
      <c r="A4" s="713" t="s">
        <v>301</v>
      </c>
      <c r="B4" s="713" t="s">
        <v>2</v>
      </c>
      <c r="C4" s="713" t="s">
        <v>285</v>
      </c>
      <c r="D4" s="673" t="s">
        <v>68</v>
      </c>
      <c r="E4" s="722" t="s">
        <v>287</v>
      </c>
      <c r="F4" s="723"/>
      <c r="G4" s="723"/>
      <c r="H4" s="723"/>
      <c r="I4" s="723"/>
      <c r="J4" s="723"/>
      <c r="K4" s="723"/>
      <c r="L4" s="723"/>
      <c r="M4" s="723"/>
      <c r="N4" s="723"/>
      <c r="O4" s="675" t="s">
        <v>298</v>
      </c>
      <c r="P4" s="724" t="s">
        <v>56</v>
      </c>
      <c r="Q4" s="725"/>
      <c r="R4" s="1024" t="s">
        <v>286</v>
      </c>
      <c r="S4" s="673" t="s">
        <v>68</v>
      </c>
      <c r="T4" s="682" t="s">
        <v>288</v>
      </c>
      <c r="U4" s="683"/>
      <c r="V4" s="683"/>
      <c r="W4" s="684"/>
      <c r="X4" s="684"/>
      <c r="Y4" s="684"/>
      <c r="Z4" s="684"/>
      <c r="AA4" s="684"/>
      <c r="AB4" s="684"/>
      <c r="AC4" s="684"/>
      <c r="AD4" s="684"/>
      <c r="AE4" s="684"/>
      <c r="AF4" s="684"/>
      <c r="AG4" s="684"/>
      <c r="AH4" s="684"/>
      <c r="AI4" s="684"/>
      <c r="AJ4" s="684"/>
      <c r="AK4" s="684"/>
      <c r="AL4" s="684"/>
      <c r="AM4" s="684"/>
      <c r="AN4" s="684"/>
      <c r="AO4" s="684"/>
      <c r="AP4" s="684"/>
      <c r="AQ4" s="684"/>
      <c r="AR4" s="684"/>
      <c r="AS4" s="684"/>
      <c r="AT4" s="684"/>
      <c r="AU4" s="684"/>
      <c r="AV4" s="684"/>
      <c r="AW4" s="684"/>
      <c r="AX4" s="684"/>
      <c r="AY4" s="684"/>
      <c r="AZ4" s="684"/>
      <c r="BA4" s="684"/>
      <c r="BB4" s="684"/>
      <c r="BC4" s="684"/>
      <c r="BD4" s="684"/>
      <c r="BE4" s="684"/>
      <c r="BF4" s="684"/>
      <c r="BG4" s="685"/>
      <c r="BH4" s="687"/>
      <c r="BI4" s="687"/>
      <c r="BJ4" s="687"/>
      <c r="BK4" s="687"/>
      <c r="BL4" s="687"/>
      <c r="BM4" s="687"/>
      <c r="BN4" s="687"/>
    </row>
    <row r="5" spans="1:66" s="1" customFormat="1" ht="35.25" customHeight="1">
      <c r="A5" s="674"/>
      <c r="B5" s="674"/>
      <c r="C5" s="1018"/>
      <c r="D5" s="674"/>
      <c r="E5" s="680" t="s">
        <v>297</v>
      </c>
      <c r="F5" s="681"/>
      <c r="G5" s="681"/>
      <c r="H5" s="681"/>
      <c r="I5" s="681"/>
      <c r="J5" s="681"/>
      <c r="K5" s="681"/>
      <c r="L5" s="681"/>
      <c r="M5" s="681"/>
      <c r="N5" s="681"/>
      <c r="O5" s="674"/>
      <c r="P5" s="726"/>
      <c r="Q5" s="727"/>
      <c r="R5" s="1025"/>
      <c r="S5" s="674"/>
      <c r="T5" s="676" t="s">
        <v>62</v>
      </c>
      <c r="U5" s="676"/>
      <c r="V5" s="676"/>
      <c r="W5" s="677"/>
      <c r="X5" s="688" t="s">
        <v>289</v>
      </c>
      <c r="Y5" s="688"/>
      <c r="Z5" s="688"/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673" t="s">
        <v>68</v>
      </c>
      <c r="AQ5" s="688" t="s">
        <v>19</v>
      </c>
      <c r="AR5" s="688"/>
      <c r="AS5" s="688"/>
      <c r="AT5" s="688"/>
      <c r="AU5" s="688"/>
      <c r="AV5" s="688"/>
      <c r="AW5" s="688"/>
      <c r="AX5" s="676" t="s">
        <v>19</v>
      </c>
      <c r="AY5" s="676"/>
      <c r="AZ5" s="676"/>
      <c r="BA5" s="676"/>
      <c r="BB5" s="676"/>
      <c r="BC5" s="676" t="s">
        <v>20</v>
      </c>
      <c r="BD5" s="676" t="s">
        <v>13</v>
      </c>
      <c r="BE5" s="676" t="s">
        <v>21</v>
      </c>
      <c r="BF5" s="676" t="s">
        <v>303</v>
      </c>
      <c r="BG5" s="811" t="s">
        <v>304</v>
      </c>
      <c r="BH5" s="687" t="s">
        <v>129</v>
      </c>
      <c r="BI5" s="687"/>
      <c r="BJ5" s="687"/>
      <c r="BK5" s="687"/>
      <c r="BL5" s="687"/>
      <c r="BM5" s="687"/>
      <c r="BN5" s="687"/>
    </row>
    <row r="6" spans="1:66" s="2" customFormat="1" ht="54.75" customHeight="1">
      <c r="A6" s="674"/>
      <c r="B6" s="674"/>
      <c r="C6" s="1018"/>
      <c r="D6" s="674"/>
      <c r="E6" s="680" t="s">
        <v>53</v>
      </c>
      <c r="F6" s="681"/>
      <c r="G6" s="681"/>
      <c r="H6" s="680" t="s">
        <v>27</v>
      </c>
      <c r="I6" s="680" t="s">
        <v>10</v>
      </c>
      <c r="J6" s="680" t="s">
        <v>5</v>
      </c>
      <c r="K6" s="680" t="s">
        <v>51</v>
      </c>
      <c r="L6" s="680" t="s">
        <v>20</v>
      </c>
      <c r="M6" s="680" t="s">
        <v>13</v>
      </c>
      <c r="N6" s="680" t="s">
        <v>21</v>
      </c>
      <c r="O6" s="674"/>
      <c r="P6" s="680" t="s">
        <v>16</v>
      </c>
      <c r="Q6" s="680" t="s">
        <v>52</v>
      </c>
      <c r="R6" s="1025"/>
      <c r="S6" s="674"/>
      <c r="T6" s="676" t="s">
        <v>66</v>
      </c>
      <c r="U6" s="677"/>
      <c r="V6" s="677"/>
      <c r="W6" s="677"/>
      <c r="X6" s="676" t="s">
        <v>63</v>
      </c>
      <c r="Y6" s="676"/>
      <c r="Z6" s="676"/>
      <c r="AA6" s="676"/>
      <c r="AB6" s="692">
        <v>340</v>
      </c>
      <c r="AC6" s="692"/>
      <c r="AD6" s="692"/>
      <c r="AE6" s="692"/>
      <c r="AF6" s="692"/>
      <c r="AG6" s="692"/>
      <c r="AH6" s="692"/>
      <c r="AI6" s="692"/>
      <c r="AJ6" s="692"/>
      <c r="AK6" s="676" t="s">
        <v>4</v>
      </c>
      <c r="AL6" s="676"/>
      <c r="AM6" s="676"/>
      <c r="AN6" s="676"/>
      <c r="AO6" s="676"/>
      <c r="AP6" s="674"/>
      <c r="AQ6" s="676" t="s">
        <v>5</v>
      </c>
      <c r="AR6" s="676"/>
      <c r="AS6" s="676"/>
      <c r="AT6" s="676"/>
      <c r="AU6" s="676"/>
      <c r="AV6" s="676"/>
      <c r="AW6" s="676"/>
      <c r="AX6" s="676" t="s">
        <v>6</v>
      </c>
      <c r="AY6" s="717"/>
      <c r="AZ6" s="677"/>
      <c r="BA6" s="677"/>
      <c r="BB6" s="676">
        <v>290</v>
      </c>
      <c r="BC6" s="676"/>
      <c r="BD6" s="676"/>
      <c r="BE6" s="676"/>
      <c r="BF6" s="676"/>
      <c r="BG6" s="811"/>
      <c r="BH6" s="691">
        <v>2110</v>
      </c>
      <c r="BI6" s="691">
        <v>2130</v>
      </c>
      <c r="BJ6" s="691">
        <v>2230</v>
      </c>
      <c r="BK6" s="691">
        <v>7500</v>
      </c>
      <c r="BL6" s="691">
        <v>7520</v>
      </c>
      <c r="BM6" s="691">
        <v>7660</v>
      </c>
      <c r="BN6" s="691" t="s">
        <v>130</v>
      </c>
    </row>
    <row r="7" spans="1:66" s="2" customFormat="1" ht="48.75" customHeight="1">
      <c r="A7" s="674"/>
      <c r="B7" s="674"/>
      <c r="C7" s="1018"/>
      <c r="D7" s="674"/>
      <c r="E7" s="680" t="s">
        <v>26</v>
      </c>
      <c r="F7" s="680"/>
      <c r="G7" s="680"/>
      <c r="H7" s="681"/>
      <c r="I7" s="681"/>
      <c r="J7" s="681"/>
      <c r="K7" s="681"/>
      <c r="L7" s="681"/>
      <c r="M7" s="681"/>
      <c r="N7" s="681"/>
      <c r="O7" s="674"/>
      <c r="P7" s="681"/>
      <c r="Q7" s="681"/>
      <c r="R7" s="1025"/>
      <c r="S7" s="674"/>
      <c r="T7" s="676" t="s">
        <v>3</v>
      </c>
      <c r="U7" s="676" t="s">
        <v>64</v>
      </c>
      <c r="V7" s="676" t="s">
        <v>12</v>
      </c>
      <c r="W7" s="676" t="s">
        <v>65</v>
      </c>
      <c r="X7" s="676" t="s">
        <v>16</v>
      </c>
      <c r="Y7" s="676"/>
      <c r="Z7" s="676"/>
      <c r="AA7" s="676"/>
      <c r="AB7" s="676" t="s">
        <v>27</v>
      </c>
      <c r="AC7" s="676"/>
      <c r="AD7" s="676"/>
      <c r="AE7" s="676"/>
      <c r="AF7" s="676"/>
      <c r="AG7" s="676"/>
      <c r="AH7" s="676"/>
      <c r="AI7" s="676"/>
      <c r="AJ7" s="676"/>
      <c r="AK7" s="676" t="s">
        <v>10</v>
      </c>
      <c r="AL7" s="676"/>
      <c r="AM7" s="676"/>
      <c r="AN7" s="676"/>
      <c r="AO7" s="676"/>
      <c r="AP7" s="674"/>
      <c r="AQ7" s="692">
        <v>225</v>
      </c>
      <c r="AR7" s="692"/>
      <c r="AS7" s="692"/>
      <c r="AT7" s="692"/>
      <c r="AU7" s="692"/>
      <c r="AV7" s="47">
        <v>290</v>
      </c>
      <c r="AW7" s="47">
        <v>224</v>
      </c>
      <c r="AX7" s="20" t="s">
        <v>4</v>
      </c>
      <c r="AY7" s="20" t="s">
        <v>4</v>
      </c>
      <c r="AZ7" s="676" t="s">
        <v>4</v>
      </c>
      <c r="BA7" s="676"/>
      <c r="BB7" s="676"/>
      <c r="BC7" s="676"/>
      <c r="BD7" s="676"/>
      <c r="BE7" s="676"/>
      <c r="BF7" s="676"/>
      <c r="BG7" s="811"/>
      <c r="BH7" s="691"/>
      <c r="BI7" s="691"/>
      <c r="BJ7" s="691"/>
      <c r="BK7" s="691"/>
      <c r="BL7" s="691"/>
      <c r="BM7" s="691"/>
      <c r="BN7" s="691"/>
    </row>
    <row r="8" spans="1:66" s="2" customFormat="1" ht="40.5" customHeight="1">
      <c r="A8" s="674"/>
      <c r="B8" s="674"/>
      <c r="C8" s="1018"/>
      <c r="D8" s="674"/>
      <c r="E8" s="680" t="s">
        <v>3</v>
      </c>
      <c r="F8" s="680" t="s">
        <v>12</v>
      </c>
      <c r="G8" s="680" t="s">
        <v>11</v>
      </c>
      <c r="H8" s="681"/>
      <c r="I8" s="681"/>
      <c r="J8" s="681"/>
      <c r="K8" s="681"/>
      <c r="L8" s="681"/>
      <c r="M8" s="681"/>
      <c r="N8" s="681"/>
      <c r="O8" s="674"/>
      <c r="P8" s="681"/>
      <c r="Q8" s="681"/>
      <c r="R8" s="1025"/>
      <c r="S8" s="674"/>
      <c r="T8" s="677"/>
      <c r="U8" s="677"/>
      <c r="V8" s="677"/>
      <c r="W8" s="677"/>
      <c r="X8" s="676"/>
      <c r="Y8" s="676"/>
      <c r="Z8" s="676"/>
      <c r="AA8" s="676"/>
      <c r="AB8" s="676"/>
      <c r="AC8" s="676"/>
      <c r="AD8" s="676"/>
      <c r="AE8" s="676"/>
      <c r="AF8" s="676"/>
      <c r="AG8" s="676"/>
      <c r="AH8" s="676"/>
      <c r="AI8" s="676"/>
      <c r="AJ8" s="676"/>
      <c r="AK8" s="676"/>
      <c r="AL8" s="676"/>
      <c r="AM8" s="676"/>
      <c r="AN8" s="676"/>
      <c r="AO8" s="676"/>
      <c r="AP8" s="674"/>
      <c r="AQ8" s="676" t="s">
        <v>28</v>
      </c>
      <c r="AR8" s="676" t="s">
        <v>29</v>
      </c>
      <c r="AS8" s="676" t="s">
        <v>119</v>
      </c>
      <c r="AT8" s="676"/>
      <c r="AU8" s="676"/>
      <c r="AV8" s="676" t="s">
        <v>31</v>
      </c>
      <c r="AW8" s="676" t="s">
        <v>124</v>
      </c>
      <c r="AX8" s="676" t="s">
        <v>32</v>
      </c>
      <c r="AY8" s="676" t="s">
        <v>33</v>
      </c>
      <c r="AZ8" s="676" t="s">
        <v>34</v>
      </c>
      <c r="BA8" s="676"/>
      <c r="BB8" s="676" t="s">
        <v>120</v>
      </c>
      <c r="BC8" s="676"/>
      <c r="BD8" s="676"/>
      <c r="BE8" s="676"/>
      <c r="BF8" s="676"/>
      <c r="BG8" s="811"/>
      <c r="BH8" s="691"/>
      <c r="BI8" s="691"/>
      <c r="BJ8" s="691"/>
      <c r="BK8" s="691"/>
      <c r="BL8" s="691"/>
      <c r="BM8" s="691"/>
      <c r="BN8" s="691"/>
    </row>
    <row r="9" spans="1:66" s="2" customFormat="1" ht="26.25" customHeight="1">
      <c r="A9" s="674"/>
      <c r="B9" s="674"/>
      <c r="C9" s="1018"/>
      <c r="D9" s="674"/>
      <c r="E9" s="680"/>
      <c r="F9" s="680"/>
      <c r="G9" s="680"/>
      <c r="H9" s="681"/>
      <c r="I9" s="681"/>
      <c r="J9" s="681"/>
      <c r="K9" s="681"/>
      <c r="L9" s="681"/>
      <c r="M9" s="681"/>
      <c r="N9" s="681"/>
      <c r="O9" s="674"/>
      <c r="P9" s="681"/>
      <c r="Q9" s="681"/>
      <c r="R9" s="1025"/>
      <c r="S9" s="674"/>
      <c r="T9" s="677"/>
      <c r="U9" s="677"/>
      <c r="V9" s="677"/>
      <c r="W9" s="677"/>
      <c r="X9" s="676" t="s">
        <v>9</v>
      </c>
      <c r="Y9" s="676" t="s">
        <v>98</v>
      </c>
      <c r="Z9" s="676" t="s">
        <v>17</v>
      </c>
      <c r="AA9" s="676" t="s">
        <v>18</v>
      </c>
      <c r="AB9" s="676" t="s">
        <v>36</v>
      </c>
      <c r="AC9" s="676" t="s">
        <v>37</v>
      </c>
      <c r="AD9" s="676" t="s">
        <v>38</v>
      </c>
      <c r="AE9" s="676" t="s">
        <v>39</v>
      </c>
      <c r="AF9" s="676" t="s">
        <v>40</v>
      </c>
      <c r="AG9" s="676" t="s">
        <v>14</v>
      </c>
      <c r="AH9" s="676" t="s">
        <v>41</v>
      </c>
      <c r="AI9" s="676" t="s">
        <v>15</v>
      </c>
      <c r="AJ9" s="676" t="s">
        <v>42</v>
      </c>
      <c r="AK9" s="676" t="s">
        <v>43</v>
      </c>
      <c r="AL9" s="676" t="s">
        <v>44</v>
      </c>
      <c r="AM9" s="676" t="s">
        <v>45</v>
      </c>
      <c r="AN9" s="676" t="s">
        <v>46</v>
      </c>
      <c r="AO9" s="676" t="s">
        <v>47</v>
      </c>
      <c r="AP9" s="674"/>
      <c r="AQ9" s="676"/>
      <c r="AR9" s="676"/>
      <c r="AS9" s="676" t="s">
        <v>48</v>
      </c>
      <c r="AT9" s="676" t="s">
        <v>49</v>
      </c>
      <c r="AU9" s="676" t="s">
        <v>50</v>
      </c>
      <c r="AV9" s="676"/>
      <c r="AW9" s="676"/>
      <c r="AX9" s="676"/>
      <c r="AY9" s="676"/>
      <c r="AZ9" s="676"/>
      <c r="BA9" s="676"/>
      <c r="BB9" s="676"/>
      <c r="BC9" s="676"/>
      <c r="BD9" s="676"/>
      <c r="BE9" s="676"/>
      <c r="BF9" s="676"/>
      <c r="BG9" s="811"/>
      <c r="BH9" s="691"/>
      <c r="BI9" s="691"/>
      <c r="BJ9" s="691"/>
      <c r="BK9" s="691"/>
      <c r="BL9" s="691"/>
      <c r="BM9" s="691"/>
      <c r="BN9" s="691"/>
    </row>
    <row r="10" spans="1:66" s="2" customFormat="1" ht="75.75" customHeight="1">
      <c r="A10" s="716"/>
      <c r="B10" s="716"/>
      <c r="C10" s="1019"/>
      <c r="D10" s="716"/>
      <c r="E10" s="680"/>
      <c r="F10" s="680"/>
      <c r="G10" s="680"/>
      <c r="H10" s="681"/>
      <c r="I10" s="681"/>
      <c r="J10" s="681"/>
      <c r="K10" s="681"/>
      <c r="L10" s="681"/>
      <c r="M10" s="681"/>
      <c r="N10" s="681"/>
      <c r="O10" s="716"/>
      <c r="P10" s="681"/>
      <c r="Q10" s="681"/>
      <c r="R10" s="1026"/>
      <c r="S10" s="716"/>
      <c r="T10" s="677"/>
      <c r="U10" s="677"/>
      <c r="V10" s="677"/>
      <c r="W10" s="677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676"/>
      <c r="AL10" s="676"/>
      <c r="AM10" s="676"/>
      <c r="AN10" s="676"/>
      <c r="AO10" s="676"/>
      <c r="AP10" s="674"/>
      <c r="AQ10" s="676"/>
      <c r="AR10" s="676"/>
      <c r="AS10" s="676"/>
      <c r="AT10" s="676"/>
      <c r="AU10" s="676"/>
      <c r="AV10" s="676"/>
      <c r="AW10" s="676"/>
      <c r="AX10" s="676"/>
      <c r="AY10" s="676"/>
      <c r="AZ10" s="676"/>
      <c r="BA10" s="676"/>
      <c r="BB10" s="676"/>
      <c r="BC10" s="676"/>
      <c r="BD10" s="676"/>
      <c r="BE10" s="676"/>
      <c r="BF10" s="676"/>
      <c r="BG10" s="811"/>
      <c r="BH10" s="691"/>
      <c r="BI10" s="691"/>
      <c r="BJ10" s="691"/>
      <c r="BK10" s="691"/>
      <c r="BL10" s="691"/>
      <c r="BM10" s="691"/>
      <c r="BN10" s="691"/>
    </row>
    <row r="11" spans="1:66" s="2" customFormat="1" ht="26.25" customHeight="1">
      <c r="A11" s="94"/>
      <c r="B11" s="94"/>
      <c r="C11" s="103"/>
      <c r="D11" s="102"/>
      <c r="E11" s="99"/>
      <c r="F11" s="99"/>
      <c r="G11" s="99"/>
      <c r="H11" s="100"/>
      <c r="I11" s="100"/>
      <c r="J11" s="100"/>
      <c r="K11" s="100"/>
      <c r="L11" s="100"/>
      <c r="M11" s="100"/>
      <c r="N11" s="100"/>
      <c r="O11" s="94"/>
      <c r="P11" s="100"/>
      <c r="Q11" s="100"/>
      <c r="R11" s="217"/>
      <c r="S11" s="102"/>
      <c r="T11" s="578">
        <f>T12+T13</f>
        <v>2193575.8600000003</v>
      </c>
      <c r="U11" s="578">
        <f t="shared" ref="U11:AO11" si="0">U12+U13</f>
        <v>662415.26</v>
      </c>
      <c r="V11" s="578">
        <f t="shared" si="0"/>
        <v>1425174</v>
      </c>
      <c r="W11" s="578">
        <f t="shared" si="0"/>
        <v>430402</v>
      </c>
      <c r="X11" s="578">
        <f t="shared" si="0"/>
        <v>416434</v>
      </c>
      <c r="Y11" s="578">
        <f t="shared" si="0"/>
        <v>4500</v>
      </c>
      <c r="Z11" s="578">
        <f t="shared" si="0"/>
        <v>143191</v>
      </c>
      <c r="AA11" s="578">
        <f t="shared" si="0"/>
        <v>14937</v>
      </c>
      <c r="AB11" s="578">
        <f t="shared" si="0"/>
        <v>86396</v>
      </c>
      <c r="AC11" s="578">
        <f t="shared" si="0"/>
        <v>0</v>
      </c>
      <c r="AD11" s="578">
        <f t="shared" si="0"/>
        <v>0</v>
      </c>
      <c r="AE11" s="578">
        <f t="shared" si="0"/>
        <v>0</v>
      </c>
      <c r="AF11" s="578">
        <f t="shared" si="0"/>
        <v>0</v>
      </c>
      <c r="AG11" s="578">
        <f t="shared" si="0"/>
        <v>15628</v>
      </c>
      <c r="AH11" s="578">
        <f t="shared" si="0"/>
        <v>0</v>
      </c>
      <c r="AI11" s="578">
        <f t="shared" si="0"/>
        <v>15628</v>
      </c>
      <c r="AJ11" s="578">
        <f t="shared" si="0"/>
        <v>117652</v>
      </c>
      <c r="AK11" s="578">
        <f t="shared" si="0"/>
        <v>34008</v>
      </c>
      <c r="AL11" s="578">
        <f t="shared" si="0"/>
        <v>0</v>
      </c>
      <c r="AM11" s="578">
        <f t="shared" si="0"/>
        <v>55006</v>
      </c>
      <c r="AN11" s="578">
        <f t="shared" si="0"/>
        <v>0</v>
      </c>
      <c r="AO11" s="101">
        <f t="shared" si="0"/>
        <v>0</v>
      </c>
      <c r="AP11" s="102"/>
      <c r="AQ11" s="578">
        <f t="shared" ref="AQ11:BF11" si="1">AQ12+AQ13</f>
        <v>13734</v>
      </c>
      <c r="AR11" s="578">
        <f t="shared" si="1"/>
        <v>54186</v>
      </c>
      <c r="AS11" s="578">
        <f t="shared" si="1"/>
        <v>524</v>
      </c>
      <c r="AT11" s="578">
        <f t="shared" si="1"/>
        <v>33034</v>
      </c>
      <c r="AU11" s="578">
        <f t="shared" si="1"/>
        <v>0</v>
      </c>
      <c r="AV11" s="578">
        <f t="shared" si="1"/>
        <v>0</v>
      </c>
      <c r="AW11" s="578">
        <f t="shared" si="1"/>
        <v>0</v>
      </c>
      <c r="AX11" s="578">
        <f t="shared" si="1"/>
        <v>27468</v>
      </c>
      <c r="AY11" s="578">
        <f t="shared" si="1"/>
        <v>20928</v>
      </c>
      <c r="AZ11" s="578">
        <f t="shared" si="1"/>
        <v>0</v>
      </c>
      <c r="BA11" s="578">
        <f t="shared" si="1"/>
        <v>0</v>
      </c>
      <c r="BB11" s="578">
        <f t="shared" si="1"/>
        <v>0</v>
      </c>
      <c r="BC11" s="578">
        <f t="shared" si="1"/>
        <v>38525</v>
      </c>
      <c r="BD11" s="578">
        <f t="shared" si="1"/>
        <v>0</v>
      </c>
      <c r="BE11" s="578">
        <f t="shared" si="1"/>
        <v>0</v>
      </c>
      <c r="BF11" s="578">
        <f t="shared" si="1"/>
        <v>5685694.1200000001</v>
      </c>
      <c r="BG11" s="89"/>
      <c r="BH11" s="218">
        <f t="shared" ref="BH11:BN11" si="2">BH12+BH13</f>
        <v>3618749.8600000003</v>
      </c>
      <c r="BI11" s="218">
        <f t="shared" si="2"/>
        <v>1092817.26</v>
      </c>
      <c r="BJ11" s="218">
        <f t="shared" si="2"/>
        <v>579062</v>
      </c>
      <c r="BK11" s="218">
        <f t="shared" si="2"/>
        <v>0</v>
      </c>
      <c r="BL11" s="218">
        <f t="shared" si="2"/>
        <v>38525</v>
      </c>
      <c r="BM11" s="218">
        <f t="shared" si="2"/>
        <v>356540</v>
      </c>
      <c r="BN11" s="218">
        <f t="shared" si="2"/>
        <v>5685694.1200000001</v>
      </c>
    </row>
    <row r="12" spans="1:66" ht="60" customHeight="1">
      <c r="A12" s="925" t="s">
        <v>146</v>
      </c>
      <c r="B12" s="52" t="s">
        <v>113</v>
      </c>
      <c r="C12" s="80">
        <v>58640</v>
      </c>
      <c r="D12" s="1020" t="s">
        <v>107</v>
      </c>
      <c r="E12" s="15">
        <f>ROUND((T12+U12)/C12,3)</f>
        <v>23.853999999999999</v>
      </c>
      <c r="F12" s="15">
        <f>ROUND((V12+W12)/C12,3)</f>
        <v>15.821999999999999</v>
      </c>
      <c r="G12" s="15">
        <f>E12+F12</f>
        <v>39.676000000000002</v>
      </c>
      <c r="H12" s="15">
        <f>ROUND(AJ12/C12,3)</f>
        <v>1.0029999999999999</v>
      </c>
      <c r="I12" s="15">
        <f>ROUND((AK12+AL12+AM12+AN12+AO12)/C12,3)</f>
        <v>0.75900000000000001</v>
      </c>
      <c r="J12" s="15">
        <f>ROUND((AQ12+AR12+AS12+AT12+AU12)/C12,3)</f>
        <v>0.86499999999999999</v>
      </c>
      <c r="K12" s="15">
        <f>ROUND((AX12+AY12)/C12,3)</f>
        <v>0.41299999999999998</v>
      </c>
      <c r="L12" s="37">
        <f>ROUND(BC12/C12,3)</f>
        <v>0.32800000000000001</v>
      </c>
      <c r="M12" s="37">
        <f>ROUND(BD12/C12,2)</f>
        <v>0</v>
      </c>
      <c r="N12" s="37">
        <f>ROUND(BE12/C12,3)</f>
        <v>0</v>
      </c>
      <c r="O12" s="15">
        <f>N12+M12+L12+K12+J12+I12+H12+G12</f>
        <v>43.044000000000004</v>
      </c>
      <c r="P12" s="15">
        <f>ROUND((X12+Y12+Z12+AA12)/C12,3)</f>
        <v>4.9370000000000003</v>
      </c>
      <c r="Q12" s="15">
        <f>ROUND(BB12/C12,2)</f>
        <v>0</v>
      </c>
      <c r="R12" s="436">
        <f>O12+P12+Q12</f>
        <v>47.981000000000002</v>
      </c>
      <c r="S12" s="1022" t="s">
        <v>107</v>
      </c>
      <c r="T12" s="58">
        <f>1068881+6200</f>
        <v>1075081</v>
      </c>
      <c r="U12" s="58">
        <f>322803.26+914</f>
        <v>323717.26</v>
      </c>
      <c r="V12" s="58">
        <v>712587</v>
      </c>
      <c r="W12" s="58">
        <f>ROUND(V12*0.302,0)</f>
        <v>215201</v>
      </c>
      <c r="X12" s="58">
        <v>208217</v>
      </c>
      <c r="Y12" s="58">
        <v>2250</v>
      </c>
      <c r="Z12" s="58">
        <v>71595.5</v>
      </c>
      <c r="AA12" s="161">
        <v>7468.5</v>
      </c>
      <c r="AB12" s="81">
        <v>43198</v>
      </c>
      <c r="AC12" s="81"/>
      <c r="AD12" s="81"/>
      <c r="AE12" s="58"/>
      <c r="AF12" s="81"/>
      <c r="AG12" s="81">
        <v>7814</v>
      </c>
      <c r="AH12" s="58">
        <v>0</v>
      </c>
      <c r="AI12" s="81">
        <v>7814</v>
      </c>
      <c r="AJ12" s="81">
        <f>SUM(AB12:AI12)</f>
        <v>58826</v>
      </c>
      <c r="AK12" s="81">
        <v>17004</v>
      </c>
      <c r="AL12" s="81">
        <v>0</v>
      </c>
      <c r="AM12" s="81">
        <f>27468+35</f>
        <v>27503</v>
      </c>
      <c r="AN12" s="81"/>
      <c r="AO12" s="161"/>
      <c r="AP12" s="1022" t="s">
        <v>107</v>
      </c>
      <c r="AQ12" s="81">
        <v>6867</v>
      </c>
      <c r="AR12" s="81">
        <v>27093</v>
      </c>
      <c r="AS12" s="81">
        <v>262</v>
      </c>
      <c r="AT12" s="81">
        <v>16517</v>
      </c>
      <c r="AU12" s="81">
        <v>0</v>
      </c>
      <c r="AV12" s="81">
        <v>0</v>
      </c>
      <c r="AW12" s="81">
        <v>0</v>
      </c>
      <c r="AX12" s="81">
        <v>13734</v>
      </c>
      <c r="AY12" s="81">
        <v>10464</v>
      </c>
      <c r="AZ12" s="437"/>
      <c r="BA12" s="437"/>
      <c r="BB12" s="437"/>
      <c r="BC12" s="438">
        <v>19262.5</v>
      </c>
      <c r="BD12" s="438"/>
      <c r="BE12" s="437"/>
      <c r="BF12" s="58">
        <f>T12+U12+V12+W12+X12+Y12+Z12+AA12+AB12+AC12+AD12+AE12+AF12+AG12+AH12+AI12+AK12+AL12+AM12+AN12+AO12+AQ12+AR12+AS12+AT12+AU12+AV12+AW12+AX12+AY12+BB12+BC12+BD12</f>
        <v>2813649.76</v>
      </c>
      <c r="BG12" s="221">
        <f>ROUND(BF12/C12,2)</f>
        <v>47.98</v>
      </c>
      <c r="BH12" s="76">
        <f>T12+V12</f>
        <v>1787668</v>
      </c>
      <c r="BI12" s="76">
        <f>U12+W12</f>
        <v>538918.26</v>
      </c>
      <c r="BJ12" s="76">
        <f>X12+Y12+Z12+AA12</f>
        <v>289531</v>
      </c>
      <c r="BK12" s="76"/>
      <c r="BL12" s="76">
        <f>BC12</f>
        <v>19262.5</v>
      </c>
      <c r="BM12" s="76">
        <f>AJ12+AK12+AL12+AM12+AN12+AQ12+AR12+AS12+AT12+AU12+AV12+AW12+AX12+AY12+BB12</f>
        <v>178270</v>
      </c>
      <c r="BN12" s="76">
        <f>BH12+BI12+BJ12+BK12+BL12+BM12</f>
        <v>2813649.76</v>
      </c>
    </row>
    <row r="13" spans="1:66" ht="115.5" customHeight="1">
      <c r="A13" s="925"/>
      <c r="B13" s="52" t="s">
        <v>114</v>
      </c>
      <c r="C13" s="80">
        <v>3931</v>
      </c>
      <c r="D13" s="1021"/>
      <c r="E13" s="15">
        <f>ROUND((T13+U13)/C13,3)</f>
        <v>370.69299999999998</v>
      </c>
      <c r="F13" s="15">
        <f>ROUND((V13+W13)/C13,3)</f>
        <v>236.018</v>
      </c>
      <c r="G13" s="15">
        <f>E13+F13</f>
        <v>606.71100000000001</v>
      </c>
      <c r="H13" s="15">
        <f>ROUND(AJ13/C13,3)</f>
        <v>14.965</v>
      </c>
      <c r="I13" s="15">
        <f>ROUND((AK13+AL13+AM13+AN13+AO13)/C13,2)</f>
        <v>11.32</v>
      </c>
      <c r="J13" s="15">
        <f>ROUND((AQ13+AR13+AS13+AT13+AU13)/C13,2)</f>
        <v>12.91</v>
      </c>
      <c r="K13" s="15">
        <f>ROUND((AX13+AY13)/C13,3)</f>
        <v>6.1559999999999997</v>
      </c>
      <c r="L13" s="37">
        <f>ROUND(BC13/C13,3)</f>
        <v>4.9000000000000004</v>
      </c>
      <c r="M13" s="37">
        <f>ROUND(BD13/C13,2)</f>
        <v>0</v>
      </c>
      <c r="N13" s="37">
        <f>ROUND(BE13/C13,3)</f>
        <v>0</v>
      </c>
      <c r="O13" s="15">
        <f>N13+M13+L13+K13+J13+I13+H13+G13</f>
        <v>656.96199999999999</v>
      </c>
      <c r="P13" s="15">
        <f>ROUND((X13+Y13+Z13+AA13)/C13,3)</f>
        <v>73.653000000000006</v>
      </c>
      <c r="Q13" s="15">
        <f>ROUND(BB13/C13,2)</f>
        <v>0</v>
      </c>
      <c r="R13" s="436">
        <f>O13+P13+Q13</f>
        <v>730.61500000000001</v>
      </c>
      <c r="S13" s="1023"/>
      <c r="T13" s="58">
        <f>1112294.86+6200</f>
        <v>1118494.8600000001</v>
      </c>
      <c r="U13" s="58">
        <f>ROUND(T13*0.302,0)+913</f>
        <v>338698</v>
      </c>
      <c r="V13" s="58">
        <v>712587</v>
      </c>
      <c r="W13" s="58">
        <f>ROUND(V13*0.302,0)</f>
        <v>215201</v>
      </c>
      <c r="X13" s="58">
        <v>208217</v>
      </c>
      <c r="Y13" s="58">
        <v>2250</v>
      </c>
      <c r="Z13" s="58">
        <v>71595.5</v>
      </c>
      <c r="AA13" s="161">
        <v>7468.5</v>
      </c>
      <c r="AB13" s="81">
        <v>43198</v>
      </c>
      <c r="AC13" s="81"/>
      <c r="AD13" s="81"/>
      <c r="AE13" s="58"/>
      <c r="AF13" s="81"/>
      <c r="AG13" s="81">
        <v>7814</v>
      </c>
      <c r="AH13" s="58">
        <v>0</v>
      </c>
      <c r="AI13" s="81">
        <v>7814</v>
      </c>
      <c r="AJ13" s="81">
        <f>SUM(AB13:AI13)</f>
        <v>58826</v>
      </c>
      <c r="AK13" s="81">
        <v>17004</v>
      </c>
      <c r="AL13" s="81">
        <v>0</v>
      </c>
      <c r="AM13" s="81">
        <f>27468+35</f>
        <v>27503</v>
      </c>
      <c r="AN13" s="81"/>
      <c r="AO13" s="161"/>
      <c r="AP13" s="1023"/>
      <c r="AQ13" s="81">
        <v>6867</v>
      </c>
      <c r="AR13" s="81">
        <v>27093</v>
      </c>
      <c r="AS13" s="81">
        <v>262</v>
      </c>
      <c r="AT13" s="81">
        <v>16517</v>
      </c>
      <c r="AU13" s="81">
        <v>0</v>
      </c>
      <c r="AV13" s="81">
        <v>0</v>
      </c>
      <c r="AW13" s="81">
        <v>0</v>
      </c>
      <c r="AX13" s="81">
        <v>13734</v>
      </c>
      <c r="AY13" s="81">
        <v>10464</v>
      </c>
      <c r="AZ13" s="437"/>
      <c r="BA13" s="437"/>
      <c r="BB13" s="437"/>
      <c r="BC13" s="438">
        <v>19262.5</v>
      </c>
      <c r="BD13" s="438"/>
      <c r="BE13" s="437"/>
      <c r="BF13" s="58">
        <f>T13+U13+V13+W13+X13+Y13+Z13+AA13+AJ13+AK13+AL13+AM13+AN13+AO13+AQ13+AR13+AS13+AT13+AU13+AV13+AW13+AX13+AY13+BB13+BC13+BD13</f>
        <v>2872044.3600000003</v>
      </c>
      <c r="BG13" s="221">
        <f>ROUND(BF13/C13,3)</f>
        <v>730.61400000000003</v>
      </c>
      <c r="BH13" s="76">
        <f>T13+V13</f>
        <v>1831081.86</v>
      </c>
      <c r="BI13" s="76">
        <f>U13+W13</f>
        <v>553899</v>
      </c>
      <c r="BJ13" s="76">
        <f>X13+Y13+Z13+AA13</f>
        <v>289531</v>
      </c>
      <c r="BK13" s="76"/>
      <c r="BL13" s="76">
        <f>BC13</f>
        <v>19262.5</v>
      </c>
      <c r="BM13" s="76">
        <f>AJ13+AK13+AL13+AM13+AN13+AQ13+AR13+AS13+AT13+AU13+AV13+AW13+AX13+AY13+BB13</f>
        <v>178270</v>
      </c>
      <c r="BN13" s="76">
        <f>BH13+BI13+BJ13+BK13+BL13+BM13</f>
        <v>2872044.3600000003</v>
      </c>
    </row>
    <row r="15" spans="1:66">
      <c r="AO15" s="173"/>
      <c r="AY15" s="173"/>
    </row>
    <row r="16" spans="1:66">
      <c r="T16" s="27"/>
      <c r="V16" s="86"/>
    </row>
    <row r="19" spans="24:24">
      <c r="X19" s="86"/>
    </row>
  </sheetData>
  <mergeCells count="97">
    <mergeCell ref="AP12:AP13"/>
    <mergeCell ref="AK6:AO6"/>
    <mergeCell ref="AJ9:AJ10"/>
    <mergeCell ref="AM9:AM10"/>
    <mergeCell ref="I6:I10"/>
    <mergeCell ref="S12:S13"/>
    <mergeCell ref="AB7:AJ8"/>
    <mergeCell ref="AP5:AP10"/>
    <mergeCell ref="R4:R10"/>
    <mergeCell ref="AK7:AO8"/>
    <mergeCell ref="AK9:AK10"/>
    <mergeCell ref="A12:A13"/>
    <mergeCell ref="D12:D13"/>
    <mergeCell ref="T7:T10"/>
    <mergeCell ref="D4:D10"/>
    <mergeCell ref="U7:U10"/>
    <mergeCell ref="J6:J10"/>
    <mergeCell ref="K6:K10"/>
    <mergeCell ref="P6:P10"/>
    <mergeCell ref="T5:W5"/>
    <mergeCell ref="P4:Q5"/>
    <mergeCell ref="E8:E10"/>
    <mergeCell ref="A1:R1"/>
    <mergeCell ref="AD9:AD10"/>
    <mergeCell ref="AH9:AH10"/>
    <mergeCell ref="Q6:Q10"/>
    <mergeCell ref="S4:S10"/>
    <mergeCell ref="AG9:AG10"/>
    <mergeCell ref="F8:F10"/>
    <mergeCell ref="E4:N4"/>
    <mergeCell ref="AB6:AJ6"/>
    <mergeCell ref="A2:R3"/>
    <mergeCell ref="A4:A10"/>
    <mergeCell ref="B4:B10"/>
    <mergeCell ref="C4:C10"/>
    <mergeCell ref="X9:X10"/>
    <mergeCell ref="X5:AO5"/>
    <mergeCell ref="W7:W10"/>
    <mergeCell ref="AA9:AA10"/>
    <mergeCell ref="AO9:AO10"/>
    <mergeCell ref="AB9:AB10"/>
    <mergeCell ref="X6:AA6"/>
    <mergeCell ref="E5:N5"/>
    <mergeCell ref="G8:G10"/>
    <mergeCell ref="V7:V10"/>
    <mergeCell ref="N6:N10"/>
    <mergeCell ref="O4:O10"/>
    <mergeCell ref="L6:L10"/>
    <mergeCell ref="E6:G6"/>
    <mergeCell ref="T6:W6"/>
    <mergeCell ref="E7:G7"/>
    <mergeCell ref="H6:H10"/>
    <mergeCell ref="M6:M10"/>
    <mergeCell ref="BD1:BI1"/>
    <mergeCell ref="BH4:BN4"/>
    <mergeCell ref="BH5:BN5"/>
    <mergeCell ref="T4:BG4"/>
    <mergeCell ref="BH6:BH10"/>
    <mergeCell ref="AF9:AF10"/>
    <mergeCell ref="X7:AA8"/>
    <mergeCell ref="BN6:BN10"/>
    <mergeCell ref="Y9:Y10"/>
    <mergeCell ref="AC9:AC10"/>
    <mergeCell ref="AI9:AI10"/>
    <mergeCell ref="AN9:AN10"/>
    <mergeCell ref="Z9:Z10"/>
    <mergeCell ref="AE9:AE10"/>
    <mergeCell ref="AQ6:AW6"/>
    <mergeCell ref="AQ5:AW5"/>
    <mergeCell ref="AZ8:BA10"/>
    <mergeCell ref="AS8:AU8"/>
    <mergeCell ref="AV8:AV10"/>
    <mergeCell ref="AT9:AT10"/>
    <mergeCell ref="AQ7:AU7"/>
    <mergeCell ref="AQ8:AQ10"/>
    <mergeCell ref="AR8:AR10"/>
    <mergeCell ref="AL9:AL10"/>
    <mergeCell ref="AX8:AX10"/>
    <mergeCell ref="AW8:AW10"/>
    <mergeCell ref="AU9:AU10"/>
    <mergeCell ref="AS9:AS10"/>
    <mergeCell ref="BM6:BM10"/>
    <mergeCell ref="BE5:BE10"/>
    <mergeCell ref="BF5:BF10"/>
    <mergeCell ref="AX5:BB5"/>
    <mergeCell ref="AX6:BA6"/>
    <mergeCell ref="BG5:BG10"/>
    <mergeCell ref="BD5:BD10"/>
    <mergeCell ref="AY8:AY10"/>
    <mergeCell ref="BJ6:BJ10"/>
    <mergeCell ref="BK6:BK10"/>
    <mergeCell ref="BL6:BL10"/>
    <mergeCell ref="BB8:BB10"/>
    <mergeCell ref="BC5:BC10"/>
    <mergeCell ref="BB6:BB7"/>
    <mergeCell ref="BI6:BI10"/>
    <mergeCell ref="AZ7:BA7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rgb="FFFF0000"/>
  </sheetPr>
  <dimension ref="A1:BR37"/>
  <sheetViews>
    <sheetView topLeftCell="C1" zoomScale="80" zoomScaleNormal="80" workbookViewId="0">
      <pane ySplit="9" topLeftCell="A13" activePane="bottomLeft" state="frozen"/>
      <selection pane="bottomLeft" activeCell="G14" sqref="G14"/>
    </sheetView>
  </sheetViews>
  <sheetFormatPr defaultRowHeight="18.75" outlineLevelRow="1"/>
  <cols>
    <col min="1" max="1" width="35.7109375" style="113" customWidth="1"/>
    <col min="2" max="2" width="17.7109375" style="113" customWidth="1"/>
    <col min="3" max="3" width="12" style="113" customWidth="1"/>
    <col min="4" max="4" width="10.28515625" style="113" customWidth="1"/>
    <col min="5" max="5" width="12.7109375" style="119" customWidth="1"/>
    <col min="6" max="6" width="18.42578125" style="119" customWidth="1"/>
    <col min="7" max="7" width="13.140625" style="113" customWidth="1"/>
    <col min="8" max="8" width="9.42578125" style="113" customWidth="1"/>
    <col min="9" max="9" width="14.85546875" style="113" customWidth="1"/>
    <col min="10" max="10" width="9.85546875" style="113" customWidth="1"/>
    <col min="11" max="13" width="8.42578125" style="113" customWidth="1"/>
    <col min="14" max="15" width="9" style="113" customWidth="1"/>
    <col min="16" max="16" width="9.140625" style="113"/>
    <col min="17" max="17" width="10.140625" style="113" customWidth="1"/>
    <col min="18" max="18" width="9.5703125" style="113" customWidth="1"/>
    <col min="19" max="19" width="8.7109375" style="113" customWidth="1"/>
    <col min="20" max="20" width="10.7109375" style="113" customWidth="1"/>
    <col min="21" max="21" width="22.140625" style="119" customWidth="1"/>
    <col min="22" max="22" width="16.7109375" style="115" customWidth="1"/>
    <col min="23" max="23" width="15" style="115" customWidth="1"/>
    <col min="24" max="24" width="16.28515625" style="115" customWidth="1"/>
    <col min="25" max="25" width="13.42578125" style="115" customWidth="1"/>
    <col min="26" max="26" width="11.28515625" style="114" customWidth="1"/>
    <col min="27" max="27" width="11" style="114" hidden="1" customWidth="1"/>
    <col min="28" max="28" width="12.85546875" style="114" customWidth="1"/>
    <col min="29" max="29" width="13.5703125" style="114" customWidth="1"/>
    <col min="30" max="30" width="11.7109375" style="114" customWidth="1"/>
    <col min="31" max="31" width="8.85546875" style="114" customWidth="1"/>
    <col min="32" max="32" width="7.28515625" style="114" customWidth="1"/>
    <col min="33" max="33" width="9.140625" style="114" customWidth="1"/>
    <col min="34" max="34" width="8.28515625" style="114" hidden="1" customWidth="1"/>
    <col min="35" max="35" width="12.85546875" style="114" customWidth="1"/>
    <col min="36" max="36" width="6.85546875" style="114" customWidth="1"/>
    <col min="37" max="37" width="8.140625" style="114" hidden="1" customWidth="1"/>
    <col min="38" max="38" width="12.28515625" style="114" customWidth="1"/>
    <col min="39" max="39" width="12" style="114" customWidth="1"/>
    <col min="40" max="40" width="12.85546875" style="114" customWidth="1"/>
    <col min="41" max="41" width="11.85546875" style="114" customWidth="1"/>
    <col min="42" max="42" width="10.85546875" style="114" customWidth="1"/>
    <col min="43" max="43" width="13.85546875" style="114" customWidth="1"/>
    <col min="44" max="44" width="6.85546875" style="114" hidden="1" customWidth="1"/>
    <col min="45" max="45" width="20.7109375" style="113" customWidth="1"/>
    <col min="46" max="46" width="10.7109375" style="114" customWidth="1"/>
    <col min="47" max="47" width="11.28515625" style="114" customWidth="1"/>
    <col min="48" max="48" width="10.28515625" style="114" customWidth="1"/>
    <col min="49" max="49" width="11.140625" style="114" customWidth="1"/>
    <col min="50" max="50" width="6.7109375" style="114" customWidth="1"/>
    <col min="51" max="51" width="10.5703125" style="114" customWidth="1"/>
    <col min="52" max="52" width="9.28515625" style="114" customWidth="1"/>
    <col min="53" max="53" width="11.28515625" style="114" customWidth="1"/>
    <col min="54" max="54" width="9.28515625" style="114" customWidth="1"/>
    <col min="55" max="56" width="9.28515625" style="114" hidden="1" customWidth="1"/>
    <col min="57" max="57" width="10.85546875" style="114" customWidth="1"/>
    <col min="58" max="58" width="7" style="114" hidden="1" customWidth="1"/>
    <col min="59" max="59" width="13.42578125" style="114" customWidth="1"/>
    <col min="60" max="60" width="9.28515625" style="114" hidden="1" customWidth="1"/>
    <col min="61" max="61" width="15.28515625" style="115" customWidth="1"/>
    <col min="62" max="62" width="0" style="116" hidden="1" customWidth="1"/>
    <col min="63" max="63" width="13.5703125" style="116" hidden="1" customWidth="1"/>
    <col min="64" max="64" width="11" style="116" customWidth="1"/>
    <col min="65" max="65" width="15.7109375" style="119" customWidth="1"/>
    <col min="66" max="66" width="16.5703125" style="119" customWidth="1"/>
    <col min="67" max="67" width="12.28515625" style="119" customWidth="1"/>
    <col min="68" max="68" width="15.42578125" style="119" customWidth="1"/>
    <col min="69" max="69" width="12.28515625" style="119" customWidth="1"/>
    <col min="70" max="70" width="16.7109375" style="119" customWidth="1"/>
    <col min="71" max="16384" width="9.140625" style="113"/>
  </cols>
  <sheetData>
    <row r="1" spans="1:70" ht="27" customHeight="1">
      <c r="A1" s="686" t="s">
        <v>405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BK1" s="930"/>
      <c r="BL1" s="930"/>
      <c r="BM1" s="930"/>
      <c r="BN1" s="930"/>
      <c r="BO1" s="1041"/>
      <c r="BP1" s="1041"/>
      <c r="BQ1" s="1041"/>
      <c r="BR1" s="1041"/>
    </row>
    <row r="2" spans="1:70" ht="36.75" customHeight="1">
      <c r="A2" s="1042" t="s">
        <v>248</v>
      </c>
      <c r="B2" s="1043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  <c r="R2" s="1044"/>
      <c r="S2" s="1044"/>
      <c r="T2" s="1044"/>
      <c r="U2" s="104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7"/>
      <c r="AT2" s="118"/>
      <c r="AU2" s="118"/>
      <c r="AV2" s="118"/>
      <c r="AW2" s="118"/>
      <c r="AX2" s="118"/>
      <c r="AY2" s="118"/>
      <c r="AZ2" s="118"/>
      <c r="BA2" s="118"/>
    </row>
    <row r="3" spans="1:70" ht="28.5" customHeight="1">
      <c r="A3" s="871" t="s">
        <v>0</v>
      </c>
      <c r="B3" s="871" t="s">
        <v>195</v>
      </c>
      <c r="C3" s="871" t="s">
        <v>2</v>
      </c>
      <c r="D3" s="871" t="s">
        <v>199</v>
      </c>
      <c r="E3" s="871" t="s">
        <v>1</v>
      </c>
      <c r="F3" s="673" t="s">
        <v>68</v>
      </c>
      <c r="G3" s="948" t="s">
        <v>115</v>
      </c>
      <c r="H3" s="1045"/>
      <c r="I3" s="1045"/>
      <c r="J3" s="1045"/>
      <c r="K3" s="1045"/>
      <c r="L3" s="1045"/>
      <c r="M3" s="1045"/>
      <c r="N3" s="1045"/>
      <c r="O3" s="1045"/>
      <c r="P3" s="1045"/>
      <c r="Q3" s="667" t="s">
        <v>55</v>
      </c>
      <c r="R3" s="785" t="s">
        <v>56</v>
      </c>
      <c r="S3" s="1036"/>
      <c r="T3" s="1012" t="s">
        <v>54</v>
      </c>
      <c r="U3" s="673" t="s">
        <v>68</v>
      </c>
      <c r="V3" s="816" t="s">
        <v>60</v>
      </c>
      <c r="W3" s="816"/>
      <c r="X3" s="816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AM3" s="817"/>
      <c r="AN3" s="817"/>
      <c r="AO3" s="817"/>
      <c r="AP3" s="817"/>
      <c r="AQ3" s="817"/>
      <c r="AR3" s="817"/>
      <c r="AS3" s="817"/>
      <c r="AT3" s="817"/>
      <c r="AU3" s="817"/>
      <c r="AV3" s="817"/>
      <c r="AW3" s="817"/>
      <c r="AX3" s="817"/>
      <c r="AY3" s="817"/>
      <c r="AZ3" s="817"/>
      <c r="BA3" s="817"/>
      <c r="BB3" s="817"/>
      <c r="BC3" s="817"/>
      <c r="BD3" s="817"/>
      <c r="BE3" s="817"/>
      <c r="BF3" s="817"/>
      <c r="BG3" s="817"/>
      <c r="BH3" s="817"/>
      <c r="BI3" s="817"/>
      <c r="BJ3" s="817"/>
      <c r="BK3" s="817"/>
      <c r="BL3" s="817"/>
      <c r="BM3" s="687"/>
      <c r="BN3" s="687"/>
      <c r="BO3" s="687"/>
      <c r="BP3" s="687"/>
      <c r="BQ3" s="687"/>
      <c r="BR3" s="687"/>
    </row>
    <row r="4" spans="1:70" s="119" customFormat="1" ht="36.75" customHeight="1">
      <c r="A4" s="1031"/>
      <c r="B4" s="1031"/>
      <c r="C4" s="1031"/>
      <c r="D4" s="1031"/>
      <c r="E4" s="1034"/>
      <c r="F4" s="1034"/>
      <c r="G4" s="644" t="s">
        <v>59</v>
      </c>
      <c r="H4" s="752"/>
      <c r="I4" s="752"/>
      <c r="J4" s="752"/>
      <c r="K4" s="752"/>
      <c r="L4" s="752"/>
      <c r="M4" s="752"/>
      <c r="N4" s="752"/>
      <c r="O4" s="752"/>
      <c r="P4" s="752"/>
      <c r="Q4" s="1031"/>
      <c r="R4" s="1037"/>
      <c r="S4" s="1038"/>
      <c r="T4" s="1039"/>
      <c r="U4" s="1034"/>
      <c r="V4" s="730" t="s">
        <v>62</v>
      </c>
      <c r="W4" s="730"/>
      <c r="X4" s="730"/>
      <c r="Y4" s="732"/>
      <c r="Z4" s="951" t="s">
        <v>8</v>
      </c>
      <c r="AA4" s="951"/>
      <c r="AB4" s="951"/>
      <c r="AC4" s="951"/>
      <c r="AD4" s="951"/>
      <c r="AE4" s="951"/>
      <c r="AF4" s="951"/>
      <c r="AG4" s="951"/>
      <c r="AH4" s="951"/>
      <c r="AI4" s="951"/>
      <c r="AJ4" s="951"/>
      <c r="AK4" s="951"/>
      <c r="AL4" s="951"/>
      <c r="AM4" s="951"/>
      <c r="AN4" s="951"/>
      <c r="AO4" s="951"/>
      <c r="AP4" s="951"/>
      <c r="AQ4" s="951"/>
      <c r="AR4" s="951"/>
      <c r="AS4" s="673" t="s">
        <v>68</v>
      </c>
      <c r="AT4" s="951" t="s">
        <v>19</v>
      </c>
      <c r="AU4" s="951"/>
      <c r="AV4" s="951"/>
      <c r="AW4" s="951"/>
      <c r="AX4" s="951"/>
      <c r="AY4" s="951"/>
      <c r="AZ4" s="951"/>
      <c r="BA4" s="730" t="s">
        <v>19</v>
      </c>
      <c r="BB4" s="730"/>
      <c r="BC4" s="730"/>
      <c r="BD4" s="730"/>
      <c r="BE4" s="730"/>
      <c r="BF4" s="730" t="s">
        <v>20</v>
      </c>
      <c r="BG4" s="730" t="s">
        <v>13</v>
      </c>
      <c r="BH4" s="730" t="s">
        <v>21</v>
      </c>
      <c r="BI4" s="730" t="s">
        <v>22</v>
      </c>
      <c r="BJ4" s="646" t="s">
        <v>23</v>
      </c>
      <c r="BK4" s="646" t="s">
        <v>24</v>
      </c>
      <c r="BL4" s="1008" t="s">
        <v>25</v>
      </c>
      <c r="BM4" s="687" t="s">
        <v>129</v>
      </c>
      <c r="BN4" s="687"/>
      <c r="BO4" s="687"/>
      <c r="BP4" s="687"/>
      <c r="BQ4" s="687"/>
      <c r="BR4" s="687"/>
    </row>
    <row r="5" spans="1:70" s="120" customFormat="1" ht="68.25" customHeight="1">
      <c r="A5" s="1031"/>
      <c r="B5" s="1031"/>
      <c r="C5" s="1031"/>
      <c r="D5" s="1031"/>
      <c r="E5" s="1034"/>
      <c r="F5" s="1034"/>
      <c r="G5" s="644" t="s">
        <v>53</v>
      </c>
      <c r="H5" s="752"/>
      <c r="I5" s="752"/>
      <c r="J5" s="644" t="s">
        <v>27</v>
      </c>
      <c r="K5" s="644" t="s">
        <v>10</v>
      </c>
      <c r="L5" s="644" t="s">
        <v>5</v>
      </c>
      <c r="M5" s="644" t="s">
        <v>51</v>
      </c>
      <c r="N5" s="644" t="s">
        <v>20</v>
      </c>
      <c r="O5" s="644" t="s">
        <v>13</v>
      </c>
      <c r="P5" s="644" t="s">
        <v>21</v>
      </c>
      <c r="Q5" s="1031"/>
      <c r="R5" s="644" t="s">
        <v>16</v>
      </c>
      <c r="S5" s="644" t="s">
        <v>52</v>
      </c>
      <c r="T5" s="1039"/>
      <c r="U5" s="1034"/>
      <c r="V5" s="730" t="s">
        <v>66</v>
      </c>
      <c r="W5" s="732"/>
      <c r="X5" s="732"/>
      <c r="Y5" s="732"/>
      <c r="Z5" s="730" t="s">
        <v>63</v>
      </c>
      <c r="AA5" s="730"/>
      <c r="AB5" s="730"/>
      <c r="AC5" s="730"/>
      <c r="AD5" s="738">
        <v>340</v>
      </c>
      <c r="AE5" s="738"/>
      <c r="AF5" s="738"/>
      <c r="AG5" s="738"/>
      <c r="AH5" s="738"/>
      <c r="AI5" s="738"/>
      <c r="AJ5" s="738"/>
      <c r="AK5" s="738"/>
      <c r="AL5" s="738"/>
      <c r="AM5" s="730" t="s">
        <v>4</v>
      </c>
      <c r="AN5" s="730"/>
      <c r="AO5" s="730"/>
      <c r="AP5" s="730"/>
      <c r="AQ5" s="730"/>
      <c r="AR5" s="730"/>
      <c r="AS5" s="1031"/>
      <c r="AT5" s="730" t="s">
        <v>5</v>
      </c>
      <c r="AU5" s="730"/>
      <c r="AV5" s="730"/>
      <c r="AW5" s="730"/>
      <c r="AX5" s="730"/>
      <c r="AY5" s="730"/>
      <c r="AZ5" s="730"/>
      <c r="BA5" s="730" t="s">
        <v>6</v>
      </c>
      <c r="BB5" s="730"/>
      <c r="BC5" s="732"/>
      <c r="BD5" s="732"/>
      <c r="BE5" s="738">
        <v>290</v>
      </c>
      <c r="BF5" s="730"/>
      <c r="BG5" s="730"/>
      <c r="BH5" s="730"/>
      <c r="BI5" s="730"/>
      <c r="BJ5" s="646"/>
      <c r="BK5" s="646"/>
      <c r="BL5" s="1008"/>
      <c r="BM5" s="691">
        <v>2110</v>
      </c>
      <c r="BN5" s="691">
        <v>2130</v>
      </c>
      <c r="BO5" s="691">
        <v>2230</v>
      </c>
      <c r="BP5" s="691">
        <v>7500</v>
      </c>
      <c r="BQ5" s="691">
        <v>7660</v>
      </c>
      <c r="BR5" s="691" t="s">
        <v>130</v>
      </c>
    </row>
    <row r="6" spans="1:70" s="120" customFormat="1" ht="55.5" customHeight="1">
      <c r="A6" s="1031"/>
      <c r="B6" s="1031"/>
      <c r="C6" s="1031"/>
      <c r="D6" s="1031"/>
      <c r="E6" s="1034"/>
      <c r="F6" s="1034"/>
      <c r="G6" s="644" t="s">
        <v>26</v>
      </c>
      <c r="H6" s="644"/>
      <c r="I6" s="644"/>
      <c r="J6" s="752"/>
      <c r="K6" s="752"/>
      <c r="L6" s="752"/>
      <c r="M6" s="752"/>
      <c r="N6" s="752"/>
      <c r="O6" s="752"/>
      <c r="P6" s="752"/>
      <c r="Q6" s="1031"/>
      <c r="R6" s="752"/>
      <c r="S6" s="752"/>
      <c r="T6" s="1039"/>
      <c r="U6" s="1034"/>
      <c r="V6" s="730" t="s">
        <v>3</v>
      </c>
      <c r="W6" s="730" t="s">
        <v>64</v>
      </c>
      <c r="X6" s="730" t="s">
        <v>12</v>
      </c>
      <c r="Y6" s="730" t="s">
        <v>65</v>
      </c>
      <c r="Z6" s="730" t="s">
        <v>16</v>
      </c>
      <c r="AA6" s="730"/>
      <c r="AB6" s="730"/>
      <c r="AC6" s="730"/>
      <c r="AD6" s="730" t="s">
        <v>27</v>
      </c>
      <c r="AE6" s="730"/>
      <c r="AF6" s="730"/>
      <c r="AG6" s="730"/>
      <c r="AH6" s="730"/>
      <c r="AI6" s="730"/>
      <c r="AJ6" s="730"/>
      <c r="AK6" s="730"/>
      <c r="AL6" s="730"/>
      <c r="AM6" s="730" t="s">
        <v>10</v>
      </c>
      <c r="AN6" s="730"/>
      <c r="AO6" s="730"/>
      <c r="AP6" s="730"/>
      <c r="AQ6" s="730"/>
      <c r="AR6" s="730"/>
      <c r="AS6" s="1031"/>
      <c r="AT6" s="738">
        <v>225</v>
      </c>
      <c r="AU6" s="738"/>
      <c r="AV6" s="738"/>
      <c r="AW6" s="738"/>
      <c r="AX6" s="738"/>
      <c r="AY6" s="78">
        <v>290</v>
      </c>
      <c r="AZ6" s="78">
        <v>224</v>
      </c>
      <c r="BA6" s="60" t="s">
        <v>4</v>
      </c>
      <c r="BB6" s="60" t="s">
        <v>4</v>
      </c>
      <c r="BC6" s="730" t="s">
        <v>4</v>
      </c>
      <c r="BD6" s="730"/>
      <c r="BE6" s="738"/>
      <c r="BF6" s="730"/>
      <c r="BG6" s="730"/>
      <c r="BH6" s="730"/>
      <c r="BI6" s="730"/>
      <c r="BJ6" s="646"/>
      <c r="BK6" s="646"/>
      <c r="BL6" s="1008"/>
      <c r="BM6" s="691"/>
      <c r="BN6" s="691"/>
      <c r="BO6" s="691"/>
      <c r="BP6" s="691"/>
      <c r="BQ6" s="691"/>
      <c r="BR6" s="691"/>
    </row>
    <row r="7" spans="1:70" s="120" customFormat="1" ht="36.75" customHeight="1">
      <c r="A7" s="1031"/>
      <c r="B7" s="1031"/>
      <c r="C7" s="1031"/>
      <c r="D7" s="1031"/>
      <c r="E7" s="1034"/>
      <c r="F7" s="1034"/>
      <c r="G7" s="644" t="s">
        <v>3</v>
      </c>
      <c r="H7" s="644" t="s">
        <v>12</v>
      </c>
      <c r="I7" s="644" t="s">
        <v>11</v>
      </c>
      <c r="J7" s="752"/>
      <c r="K7" s="752"/>
      <c r="L7" s="752"/>
      <c r="M7" s="752"/>
      <c r="N7" s="752"/>
      <c r="O7" s="752"/>
      <c r="P7" s="752"/>
      <c r="Q7" s="1031"/>
      <c r="R7" s="752"/>
      <c r="S7" s="752"/>
      <c r="T7" s="1039"/>
      <c r="U7" s="1034"/>
      <c r="V7" s="732"/>
      <c r="W7" s="732"/>
      <c r="X7" s="732"/>
      <c r="Y7" s="732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1031"/>
      <c r="AT7" s="730" t="s">
        <v>28</v>
      </c>
      <c r="AU7" s="730" t="s">
        <v>29</v>
      </c>
      <c r="AV7" s="730" t="s">
        <v>122</v>
      </c>
      <c r="AW7" s="730"/>
      <c r="AX7" s="730"/>
      <c r="AY7" s="730" t="s">
        <v>31</v>
      </c>
      <c r="AZ7" s="730" t="s">
        <v>7</v>
      </c>
      <c r="BA7" s="730" t="s">
        <v>32</v>
      </c>
      <c r="BB7" s="730" t="s">
        <v>33</v>
      </c>
      <c r="BC7" s="730" t="s">
        <v>34</v>
      </c>
      <c r="BD7" s="730"/>
      <c r="BE7" s="730" t="s">
        <v>120</v>
      </c>
      <c r="BF7" s="730"/>
      <c r="BG7" s="730"/>
      <c r="BH7" s="730"/>
      <c r="BI7" s="730"/>
      <c r="BJ7" s="646"/>
      <c r="BK7" s="646"/>
      <c r="BL7" s="1008"/>
      <c r="BM7" s="691"/>
      <c r="BN7" s="691"/>
      <c r="BO7" s="691"/>
      <c r="BP7" s="691"/>
      <c r="BQ7" s="691"/>
      <c r="BR7" s="691"/>
    </row>
    <row r="8" spans="1:70" s="120" customFormat="1" ht="26.25" customHeight="1">
      <c r="A8" s="1031"/>
      <c r="B8" s="1031"/>
      <c r="C8" s="1031"/>
      <c r="D8" s="1031"/>
      <c r="E8" s="1034"/>
      <c r="F8" s="1034"/>
      <c r="G8" s="644"/>
      <c r="H8" s="644"/>
      <c r="I8" s="644"/>
      <c r="J8" s="752"/>
      <c r="K8" s="752"/>
      <c r="L8" s="752"/>
      <c r="M8" s="752"/>
      <c r="N8" s="752"/>
      <c r="O8" s="752"/>
      <c r="P8" s="752"/>
      <c r="Q8" s="1031"/>
      <c r="R8" s="752"/>
      <c r="S8" s="752"/>
      <c r="T8" s="1039"/>
      <c r="U8" s="1034"/>
      <c r="V8" s="732"/>
      <c r="W8" s="732"/>
      <c r="X8" s="732"/>
      <c r="Y8" s="732"/>
      <c r="Z8" s="730" t="s">
        <v>9</v>
      </c>
      <c r="AA8" s="730" t="s">
        <v>98</v>
      </c>
      <c r="AB8" s="730" t="s">
        <v>17</v>
      </c>
      <c r="AC8" s="730" t="s">
        <v>18</v>
      </c>
      <c r="AD8" s="730" t="s">
        <v>36</v>
      </c>
      <c r="AE8" s="730" t="s">
        <v>37</v>
      </c>
      <c r="AF8" s="730" t="s">
        <v>38</v>
      </c>
      <c r="AG8" s="730" t="s">
        <v>39</v>
      </c>
      <c r="AH8" s="730" t="s">
        <v>40</v>
      </c>
      <c r="AI8" s="730" t="s">
        <v>14</v>
      </c>
      <c r="AJ8" s="730" t="s">
        <v>41</v>
      </c>
      <c r="AK8" s="730" t="s">
        <v>15</v>
      </c>
      <c r="AL8" s="730" t="s">
        <v>42</v>
      </c>
      <c r="AM8" s="730" t="s">
        <v>43</v>
      </c>
      <c r="AN8" s="730" t="s">
        <v>44</v>
      </c>
      <c r="AO8" s="730" t="s">
        <v>45</v>
      </c>
      <c r="AP8" s="730" t="s">
        <v>293</v>
      </c>
      <c r="AQ8" s="730" t="s">
        <v>46</v>
      </c>
      <c r="AR8" s="730" t="s">
        <v>47</v>
      </c>
      <c r="AS8" s="1031"/>
      <c r="AT8" s="730"/>
      <c r="AU8" s="730"/>
      <c r="AV8" s="730" t="s">
        <v>48</v>
      </c>
      <c r="AW8" s="730" t="s">
        <v>49</v>
      </c>
      <c r="AX8" s="730" t="s">
        <v>50</v>
      </c>
      <c r="AY8" s="730"/>
      <c r="AZ8" s="730"/>
      <c r="BA8" s="730"/>
      <c r="BB8" s="730"/>
      <c r="BC8" s="730"/>
      <c r="BD8" s="730"/>
      <c r="BE8" s="730"/>
      <c r="BF8" s="730"/>
      <c r="BG8" s="730"/>
      <c r="BH8" s="730"/>
      <c r="BI8" s="730"/>
      <c r="BJ8" s="646"/>
      <c r="BK8" s="646"/>
      <c r="BL8" s="1008"/>
      <c r="BM8" s="691"/>
      <c r="BN8" s="691"/>
      <c r="BO8" s="691"/>
      <c r="BP8" s="691"/>
      <c r="BQ8" s="691"/>
      <c r="BR8" s="691"/>
    </row>
    <row r="9" spans="1:70" s="120" customFormat="1" ht="69.75" customHeight="1">
      <c r="A9" s="1032"/>
      <c r="B9" s="1032"/>
      <c r="C9" s="1032"/>
      <c r="D9" s="1032"/>
      <c r="E9" s="1035"/>
      <c r="F9" s="1035"/>
      <c r="G9" s="644"/>
      <c r="H9" s="644"/>
      <c r="I9" s="644"/>
      <c r="J9" s="752"/>
      <c r="K9" s="752"/>
      <c r="L9" s="752"/>
      <c r="M9" s="752"/>
      <c r="N9" s="752"/>
      <c r="O9" s="752"/>
      <c r="P9" s="752"/>
      <c r="Q9" s="1032"/>
      <c r="R9" s="752"/>
      <c r="S9" s="752"/>
      <c r="T9" s="1040"/>
      <c r="U9" s="1035"/>
      <c r="V9" s="732"/>
      <c r="W9" s="732"/>
      <c r="X9" s="732"/>
      <c r="Y9" s="732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1031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30"/>
      <c r="BF9" s="730"/>
      <c r="BG9" s="730"/>
      <c r="BH9" s="730"/>
      <c r="BI9" s="730"/>
      <c r="BJ9" s="646"/>
      <c r="BK9" s="646"/>
      <c r="BL9" s="1008"/>
      <c r="BM9" s="691"/>
      <c r="BN9" s="691"/>
      <c r="BO9" s="691"/>
      <c r="BP9" s="691"/>
      <c r="BQ9" s="691"/>
      <c r="BR9" s="691"/>
    </row>
    <row r="10" spans="1:70" s="120" customFormat="1" ht="28.5" customHeight="1">
      <c r="A10" s="126" t="s">
        <v>244</v>
      </c>
      <c r="B10" s="124"/>
      <c r="C10" s="124"/>
      <c r="D10" s="124"/>
      <c r="E10" s="139"/>
      <c r="F10" s="138"/>
      <c r="G10" s="84"/>
      <c r="H10" s="84"/>
      <c r="I10" s="84"/>
      <c r="J10" s="28"/>
      <c r="K10" s="28"/>
      <c r="L10" s="28"/>
      <c r="M10" s="28"/>
      <c r="N10" s="28"/>
      <c r="O10" s="28"/>
      <c r="P10" s="28"/>
      <c r="Q10" s="124"/>
      <c r="R10" s="28"/>
      <c r="S10" s="28"/>
      <c r="T10" s="125"/>
      <c r="U10" s="138"/>
      <c r="V10" s="123"/>
      <c r="W10" s="123"/>
      <c r="X10" s="123"/>
      <c r="Y10" s="123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122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105"/>
      <c r="BK10" s="105"/>
      <c r="BL10" s="106"/>
      <c r="BM10" s="93"/>
      <c r="BN10" s="93"/>
      <c r="BO10" s="93"/>
      <c r="BP10" s="93"/>
      <c r="BQ10" s="93"/>
      <c r="BR10" s="93"/>
    </row>
    <row r="11" spans="1:70" ht="104.25" customHeight="1">
      <c r="A11" s="1027" t="s">
        <v>242</v>
      </c>
      <c r="B11" s="51" t="s">
        <v>197</v>
      </c>
      <c r="C11" s="52" t="s">
        <v>189</v>
      </c>
      <c r="D11" s="52" t="s">
        <v>243</v>
      </c>
      <c r="E11" s="64">
        <v>4500</v>
      </c>
      <c r="F11" s="1029" t="s">
        <v>109</v>
      </c>
      <c r="G11" s="53">
        <f>ROUND((V11+W11)/E11,3)</f>
        <v>2107.636</v>
      </c>
      <c r="H11" s="53">
        <f>ROUND((X11+Y11)/E11,3)</f>
        <v>838.94600000000003</v>
      </c>
      <c r="I11" s="53">
        <f>G11+H11</f>
        <v>2946.5819999999999</v>
      </c>
      <c r="J11" s="53">
        <f>ROUND(AL11/E11,3)</f>
        <v>26.896999999999998</v>
      </c>
      <c r="K11" s="53">
        <f>ROUND((AM11+AN11+AO11+AQ11+AR11)/E11,3)</f>
        <v>46.524000000000001</v>
      </c>
      <c r="L11" s="53">
        <f>ROUND((AT11+AU11+AV11+AW11+AX11)/E11,3)</f>
        <v>15.087</v>
      </c>
      <c r="M11" s="53">
        <f>ROUND((BA11+BB11+BE11)/E11,3)</f>
        <v>12.250999999999999</v>
      </c>
      <c r="N11" s="54">
        <f>ROUND(BF11/E11,2)</f>
        <v>0</v>
      </c>
      <c r="O11" s="54">
        <f>ROUND(BG11/E11,3)</f>
        <v>209.99799999999999</v>
      </c>
      <c r="P11" s="54">
        <f>ROUND(BH11/E11,2)</f>
        <v>0</v>
      </c>
      <c r="Q11" s="53">
        <f>P11+O11+N11+M11+L11+K11+J11+I11</f>
        <v>3257.3389999999999</v>
      </c>
      <c r="R11" s="53">
        <f>ROUND((Z11+AB11+AC11)/E11,3)</f>
        <v>131.00399999999999</v>
      </c>
      <c r="S11" s="53">
        <f>ROUND(AY11/E11,2)</f>
        <v>0</v>
      </c>
      <c r="T11" s="170">
        <f>Q11+R11+S11</f>
        <v>3388.3429999999998</v>
      </c>
      <c r="U11" s="1029" t="s">
        <v>109</v>
      </c>
      <c r="V11" s="58">
        <v>7284456.5700000003</v>
      </c>
      <c r="W11" s="58">
        <f>ROUND(V11*0.302,0)</f>
        <v>2199906</v>
      </c>
      <c r="X11" s="58">
        <v>2899582.03</v>
      </c>
      <c r="Y11" s="58">
        <f>ROUND(X11*0.302,0)</f>
        <v>875674</v>
      </c>
      <c r="Z11" s="58">
        <v>308295</v>
      </c>
      <c r="AA11" s="58"/>
      <c r="AB11" s="58">
        <v>259058</v>
      </c>
      <c r="AC11" s="58">
        <v>22163</v>
      </c>
      <c r="AD11" s="573">
        <v>33811.949999999997</v>
      </c>
      <c r="AE11" s="58"/>
      <c r="AF11" s="58"/>
      <c r="AG11" s="58"/>
      <c r="AH11" s="58"/>
      <c r="AI11" s="58">
        <v>87226</v>
      </c>
      <c r="AJ11" s="58"/>
      <c r="AK11" s="58"/>
      <c r="AL11" s="58">
        <f>AD11+AE11+AF11+AG11+AH11+AI11+AK11+AJ11</f>
        <v>121037.95</v>
      </c>
      <c r="AM11" s="58">
        <v>20616</v>
      </c>
      <c r="AN11" s="58">
        <v>7659</v>
      </c>
      <c r="AO11" s="58">
        <v>40769</v>
      </c>
      <c r="AP11" s="58">
        <v>26939</v>
      </c>
      <c r="AQ11" s="58">
        <v>140315</v>
      </c>
      <c r="AR11" s="43"/>
      <c r="AS11" s="1020" t="s">
        <v>109</v>
      </c>
      <c r="AT11" s="58"/>
      <c r="AU11" s="58">
        <v>31127</v>
      </c>
      <c r="AV11" s="58">
        <v>17108</v>
      </c>
      <c r="AW11" s="58">
        <v>19658</v>
      </c>
      <c r="AX11" s="58"/>
      <c r="AY11" s="58"/>
      <c r="AZ11" s="58"/>
      <c r="BA11" s="58">
        <v>36896</v>
      </c>
      <c r="BB11" s="58">
        <v>4540</v>
      </c>
      <c r="BC11" s="58"/>
      <c r="BD11" s="58"/>
      <c r="BE11" s="58">
        <v>13692</v>
      </c>
      <c r="BF11" s="58"/>
      <c r="BG11" s="58">
        <v>944990</v>
      </c>
      <c r="BH11" s="58"/>
      <c r="BI11" s="58">
        <f>V11+W11+X11+Y11+Z11+AA11+AB11+AC11+AD11+AE11+AF11+AG11+AH11+AI11+AJ11+AK11+AM11+AN11+AO11+AQ11+AR11+AT11+AU11+AV11+AW11+AX11++AY11+AZ11+BA11+BB11+BC11+BD11+BE11+BF11+BG11+BH11</f>
        <v>15247542.549999999</v>
      </c>
      <c r="BJ11" s="58"/>
      <c r="BK11" s="58"/>
      <c r="BL11" s="67">
        <f>ROUND(BI11/E11,3)</f>
        <v>3388.3429999999998</v>
      </c>
      <c r="BM11" s="81">
        <f>V11+X11</f>
        <v>10184038.6</v>
      </c>
      <c r="BN11" s="81">
        <f>W11+Y11</f>
        <v>3075580</v>
      </c>
      <c r="BO11" s="81">
        <f>Z11+AA11+AB11+AC11</f>
        <v>589516</v>
      </c>
      <c r="BP11" s="81">
        <f>BG11</f>
        <v>944990</v>
      </c>
      <c r="BQ11" s="81">
        <f>AL11+AM11+AN11+AO11+AP11+AQ11+AR11+AT11+AU11+AV11+AW11+AX11+AY11+AZ11+BA11+BB11+BE11</f>
        <v>480356.95</v>
      </c>
      <c r="BR11" s="81">
        <f>BM11+BN11+BO11+BP11+BQ11</f>
        <v>15274481.549999999</v>
      </c>
    </row>
    <row r="12" spans="1:70" ht="95.25" customHeight="1">
      <c r="A12" s="1028"/>
      <c r="B12" s="51" t="s">
        <v>198</v>
      </c>
      <c r="C12" s="131" t="s">
        <v>196</v>
      </c>
      <c r="D12" s="132"/>
      <c r="E12" s="64">
        <v>9150</v>
      </c>
      <c r="F12" s="1030"/>
      <c r="G12" s="53">
        <f>ROUND((V12+W12)/E12,3)</f>
        <v>876.24199999999996</v>
      </c>
      <c r="H12" s="53">
        <f>ROUND((X12+Y12)/E12,3)</f>
        <v>366.98399999999998</v>
      </c>
      <c r="I12" s="53">
        <f>G12+H12</f>
        <v>1243.2259999999999</v>
      </c>
      <c r="J12" s="53">
        <f>ROUND(AL12/E12,3)</f>
        <v>5.17</v>
      </c>
      <c r="K12" s="53">
        <f>ROUND((AM12+AN12+AO12+AQ12+AR12)/E12,3)</f>
        <v>14.848000000000001</v>
      </c>
      <c r="L12" s="53">
        <f>ROUND((AT12+AU12+AV12+AW12+AX12)/E12,3)</f>
        <v>7.6630000000000003</v>
      </c>
      <c r="M12" s="53">
        <f>ROUND((BA12+BB12+BE12)/E12,3)</f>
        <v>6.2220000000000004</v>
      </c>
      <c r="N12" s="54">
        <f>ROUND(BF12/E12,2)</f>
        <v>0</v>
      </c>
      <c r="O12" s="54">
        <f>ROUND(BG12/E12,3)</f>
        <v>34.46</v>
      </c>
      <c r="P12" s="54">
        <f>ROUND(BH12/E12,2)</f>
        <v>0</v>
      </c>
      <c r="Q12" s="53">
        <f>P12+O12+N12+M12+L12+K12+J12+I12</f>
        <v>1311.5889999999999</v>
      </c>
      <c r="R12" s="53">
        <f>ROUND((Z12+AB12+AC12)/E12,3)</f>
        <v>18.100000000000001</v>
      </c>
      <c r="S12" s="53">
        <f>ROUND(AY12/E12,2)</f>
        <v>0</v>
      </c>
      <c r="T12" s="170">
        <f>Q12+R12+S12</f>
        <v>1329.6889999999999</v>
      </c>
      <c r="U12" s="933"/>
      <c r="V12" s="81">
        <v>6157923.5300000003</v>
      </c>
      <c r="W12" s="58">
        <f>ROUND(V12*0.302,0)</f>
        <v>1859693</v>
      </c>
      <c r="X12" s="81">
        <v>2579021.02</v>
      </c>
      <c r="Y12" s="58">
        <v>778886.68</v>
      </c>
      <c r="Z12" s="161">
        <v>86622</v>
      </c>
      <c r="AA12" s="161"/>
      <c r="AB12" s="161">
        <v>72795</v>
      </c>
      <c r="AC12" s="161">
        <v>6202</v>
      </c>
      <c r="AD12" s="161">
        <v>11100</v>
      </c>
      <c r="AE12" s="161"/>
      <c r="AF12" s="161"/>
      <c r="AG12" s="161"/>
      <c r="AH12" s="161"/>
      <c r="AI12" s="161">
        <v>36205</v>
      </c>
      <c r="AJ12" s="161"/>
      <c r="AK12" s="161"/>
      <c r="AL12" s="58">
        <f>AD12+AE12+AF12+AG12+AH12+AI12+AK12+AJ12</f>
        <v>47305</v>
      </c>
      <c r="AM12" s="161">
        <v>11100</v>
      </c>
      <c r="AN12" s="161">
        <v>7905</v>
      </c>
      <c r="AO12" s="161">
        <v>42100</v>
      </c>
      <c r="AP12" s="161">
        <v>27818</v>
      </c>
      <c r="AQ12" s="161">
        <v>74755</v>
      </c>
      <c r="AR12" s="56"/>
      <c r="AS12" s="1033"/>
      <c r="AT12" s="161"/>
      <c r="AU12" s="161">
        <v>32143</v>
      </c>
      <c r="AV12" s="161">
        <v>17668</v>
      </c>
      <c r="AW12" s="161">
        <v>20302</v>
      </c>
      <c r="AX12" s="161"/>
      <c r="AY12" s="161"/>
      <c r="AZ12" s="161"/>
      <c r="BA12" s="161">
        <v>38100</v>
      </c>
      <c r="BB12" s="161">
        <v>4690</v>
      </c>
      <c r="BC12" s="161"/>
      <c r="BD12" s="161"/>
      <c r="BE12" s="161">
        <v>14139</v>
      </c>
      <c r="BF12" s="161"/>
      <c r="BG12" s="81">
        <v>315310</v>
      </c>
      <c r="BH12" s="161"/>
      <c r="BI12" s="58">
        <f>V12+W12+X12+Y12+Z12+AA12+AB12+AC12+AD12+AE12+AF12+AG12+AH12+AI12+AJ12+AK12+AM12+AN12+AO12+AQ12+AR12+AT12+AU12+AV12+AW12+AX12++AY12+AZ12+BA12+BB12+BC12+BD12+BE12+BF12+BG12+BH12</f>
        <v>12166660.23</v>
      </c>
      <c r="BJ12" s="161"/>
      <c r="BK12" s="161"/>
      <c r="BL12" s="67">
        <f>ROUND(BI12/E12,2)</f>
        <v>1329.69</v>
      </c>
      <c r="BM12" s="81">
        <f>V12+X12</f>
        <v>8736944.5500000007</v>
      </c>
      <c r="BN12" s="81">
        <f>W12+Y12</f>
        <v>2638579.6800000002</v>
      </c>
      <c r="BO12" s="81">
        <f>Z12+AA12+AB12+AC12</f>
        <v>165619</v>
      </c>
      <c r="BP12" s="81">
        <f>BG12</f>
        <v>315310</v>
      </c>
      <c r="BQ12" s="81">
        <f>AL12+AM12+AN12+AO12+AP12+AQ12+AR12+AT12+AU12+AV12+AW12+AX12+AY12+AZ12+BA12+BB12+BE12</f>
        <v>338025</v>
      </c>
      <c r="BR12" s="81">
        <f>BM12+BN12+BO12+BP12+BQ12</f>
        <v>12194478.23</v>
      </c>
    </row>
    <row r="13" spans="1:70" ht="40.5" customHeight="1">
      <c r="A13" s="109" t="s">
        <v>266</v>
      </c>
      <c r="B13" s="109"/>
      <c r="C13" s="109" t="s">
        <v>252</v>
      </c>
      <c r="D13" s="110"/>
      <c r="E13" s="199">
        <v>18600</v>
      </c>
      <c r="F13" s="162"/>
      <c r="G13" s="163">
        <f>ROUND((V13+W13)/E13,3)</f>
        <v>940.96699999999998</v>
      </c>
      <c r="H13" s="163">
        <f>ROUND((X13+Y13)/E13,3)</f>
        <v>383.50299999999999</v>
      </c>
      <c r="I13" s="163">
        <f>G13+H13</f>
        <v>1324.47</v>
      </c>
      <c r="J13" s="163">
        <f>ROUND(AL13/E13,2)</f>
        <v>9.0500000000000007</v>
      </c>
      <c r="K13" s="163">
        <f>ROUND((AM13+AN13+AO13+AQ13+AR13)/E13,2)</f>
        <v>18.559999999999999</v>
      </c>
      <c r="L13" s="163">
        <f>ROUND((AT13+AU13+AV13+AW13+AX13)/E13,3)</f>
        <v>7.42</v>
      </c>
      <c r="M13" s="163">
        <f>ROUND((BA13+BB13+BE13)/E13,3)</f>
        <v>6.0250000000000004</v>
      </c>
      <c r="N13" s="164">
        <f>ROUND(BF13/E13,2)</f>
        <v>0</v>
      </c>
      <c r="O13" s="164">
        <f>ROUND(BG13/E13,3)</f>
        <v>67.757999999999996</v>
      </c>
      <c r="P13" s="164">
        <f>ROUND(BH13/E13,2)</f>
        <v>0</v>
      </c>
      <c r="Q13" s="163">
        <f>P13+O13+N13+M13+L13+K13+J13+I13</f>
        <v>1433.2830000000001</v>
      </c>
      <c r="R13" s="163">
        <f>ROUND((Z13+AB13+AC13)/E13,3)</f>
        <v>40.598999999999997</v>
      </c>
      <c r="S13" s="163">
        <f>ROUND(AY13/E13,2)</f>
        <v>0</v>
      </c>
      <c r="T13" s="67">
        <f>Q13+R13+S13</f>
        <v>1473.8820000000001</v>
      </c>
      <c r="U13" s="166"/>
      <c r="V13" s="55">
        <f>V11+V12</f>
        <v>13442380.100000001</v>
      </c>
      <c r="W13" s="55">
        <f t="shared" ref="W13:AR13" si="0">W11+W12</f>
        <v>4059599</v>
      </c>
      <c r="X13" s="55">
        <f t="shared" si="0"/>
        <v>5478603.0499999998</v>
      </c>
      <c r="Y13" s="55">
        <f t="shared" si="0"/>
        <v>1654560.6800000002</v>
      </c>
      <c r="Z13" s="169">
        <f t="shared" si="0"/>
        <v>394917</v>
      </c>
      <c r="AA13" s="169">
        <f t="shared" si="0"/>
        <v>0</v>
      </c>
      <c r="AB13" s="169">
        <f t="shared" si="0"/>
        <v>331853</v>
      </c>
      <c r="AC13" s="169">
        <f t="shared" si="0"/>
        <v>28365</v>
      </c>
      <c r="AD13" s="169">
        <f t="shared" si="0"/>
        <v>44911.95</v>
      </c>
      <c r="AE13" s="169">
        <f t="shared" si="0"/>
        <v>0</v>
      </c>
      <c r="AF13" s="169">
        <f t="shared" si="0"/>
        <v>0</v>
      </c>
      <c r="AG13" s="169">
        <f t="shared" si="0"/>
        <v>0</v>
      </c>
      <c r="AH13" s="169">
        <f t="shared" si="0"/>
        <v>0</v>
      </c>
      <c r="AI13" s="169">
        <f t="shared" si="0"/>
        <v>123431</v>
      </c>
      <c r="AJ13" s="169">
        <f t="shared" si="0"/>
        <v>0</v>
      </c>
      <c r="AK13" s="169">
        <f t="shared" si="0"/>
        <v>0</v>
      </c>
      <c r="AL13" s="169">
        <f t="shared" si="0"/>
        <v>168342.95</v>
      </c>
      <c r="AM13" s="169">
        <f t="shared" si="0"/>
        <v>31716</v>
      </c>
      <c r="AN13" s="169">
        <f t="shared" si="0"/>
        <v>15564</v>
      </c>
      <c r="AO13" s="169">
        <f t="shared" si="0"/>
        <v>82869</v>
      </c>
      <c r="AP13" s="169">
        <f t="shared" si="0"/>
        <v>54757</v>
      </c>
      <c r="AQ13" s="169">
        <f t="shared" si="0"/>
        <v>215070</v>
      </c>
      <c r="AR13" s="167">
        <f t="shared" si="0"/>
        <v>0</v>
      </c>
      <c r="AS13" s="168"/>
      <c r="AT13" s="169">
        <f t="shared" ref="AT13:BI13" si="1">AT11+AT12</f>
        <v>0</v>
      </c>
      <c r="AU13" s="169">
        <f t="shared" si="1"/>
        <v>63270</v>
      </c>
      <c r="AV13" s="169">
        <f t="shared" si="1"/>
        <v>34776</v>
      </c>
      <c r="AW13" s="169">
        <f t="shared" si="1"/>
        <v>39960</v>
      </c>
      <c r="AX13" s="169">
        <f t="shared" si="1"/>
        <v>0</v>
      </c>
      <c r="AY13" s="169">
        <f t="shared" si="1"/>
        <v>0</v>
      </c>
      <c r="AZ13" s="169">
        <f t="shared" si="1"/>
        <v>0</v>
      </c>
      <c r="BA13" s="169">
        <f t="shared" si="1"/>
        <v>74996</v>
      </c>
      <c r="BB13" s="169">
        <f t="shared" si="1"/>
        <v>9230</v>
      </c>
      <c r="BC13" s="169">
        <f t="shared" si="1"/>
        <v>0</v>
      </c>
      <c r="BD13" s="169">
        <f t="shared" si="1"/>
        <v>0</v>
      </c>
      <c r="BE13" s="169">
        <f t="shared" si="1"/>
        <v>27831</v>
      </c>
      <c r="BF13" s="169">
        <f t="shared" si="1"/>
        <v>0</v>
      </c>
      <c r="BG13" s="169">
        <f t="shared" si="1"/>
        <v>1260300</v>
      </c>
      <c r="BH13" s="169">
        <f t="shared" si="1"/>
        <v>0</v>
      </c>
      <c r="BI13" s="169">
        <f t="shared" si="1"/>
        <v>27414202.780000001</v>
      </c>
      <c r="BJ13" s="169"/>
      <c r="BK13" s="169"/>
      <c r="BL13" s="67">
        <f>ROUND(BI13/E13,3)</f>
        <v>1473.8820000000001</v>
      </c>
      <c r="BM13" s="67">
        <f t="shared" ref="BM13:BR13" si="2">BM11+BM12</f>
        <v>18920983.149999999</v>
      </c>
      <c r="BN13" s="67">
        <f t="shared" si="2"/>
        <v>5714159.6799999997</v>
      </c>
      <c r="BO13" s="67">
        <f t="shared" si="2"/>
        <v>755135</v>
      </c>
      <c r="BP13" s="67">
        <f t="shared" si="2"/>
        <v>1260300</v>
      </c>
      <c r="BQ13" s="67">
        <f t="shared" si="2"/>
        <v>818381.95</v>
      </c>
      <c r="BR13" s="67">
        <f t="shared" si="2"/>
        <v>27468959.780000001</v>
      </c>
    </row>
    <row r="14" spans="1:70" ht="26.25" customHeight="1">
      <c r="A14" s="133" t="s">
        <v>245</v>
      </c>
      <c r="B14" s="133"/>
      <c r="C14" s="134"/>
      <c r="D14" s="134"/>
      <c r="E14" s="140"/>
      <c r="F14" s="140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40"/>
      <c r="V14" s="137"/>
      <c r="W14" s="137"/>
      <c r="X14" s="137"/>
      <c r="Y14" s="137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4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577"/>
      <c r="BJ14" s="135"/>
      <c r="BK14" s="135"/>
      <c r="BL14" s="219"/>
      <c r="BM14" s="577"/>
      <c r="BN14" s="577"/>
      <c r="BO14" s="577"/>
      <c r="BP14" s="577"/>
      <c r="BQ14" s="577"/>
      <c r="BR14" s="577"/>
    </row>
    <row r="15" spans="1:70" s="121" customFormat="1" ht="161.25" customHeight="1">
      <c r="A15" s="131" t="s">
        <v>246</v>
      </c>
      <c r="B15" s="132"/>
      <c r="C15" s="131" t="s">
        <v>247</v>
      </c>
      <c r="D15" s="132"/>
      <c r="E15" s="142">
        <v>100</v>
      </c>
      <c r="F15" s="93" t="s">
        <v>109</v>
      </c>
      <c r="G15" s="58">
        <f>ROUND((V15+W15)/E15,3)</f>
        <v>17970.239000000001</v>
      </c>
      <c r="H15" s="58">
        <f>ROUND((X15+Y15)/E15,3)</f>
        <v>7359.152</v>
      </c>
      <c r="I15" s="58">
        <f>G15+H15</f>
        <v>25329.391000000003</v>
      </c>
      <c r="J15" s="58">
        <f>ROUND(AL15/E15,3)</f>
        <v>185.51</v>
      </c>
      <c r="K15" s="58">
        <f>ROUND((AM15+AN15+AO15+AQ15+AR15)/E15,3)</f>
        <v>60.57</v>
      </c>
      <c r="L15" s="58">
        <f>ROUND((AT15+AU15+AV15+AW15+AX15)/E15,3)</f>
        <v>0</v>
      </c>
      <c r="M15" s="58">
        <f>ROUND((BA15+BB15+BE15)/E15,3)</f>
        <v>0</v>
      </c>
      <c r="N15" s="153">
        <f>ROUND(BF15/E15,2)</f>
        <v>0</v>
      </c>
      <c r="O15" s="153">
        <f>ROUND(BG15/E15,3)</f>
        <v>0</v>
      </c>
      <c r="P15" s="153">
        <f>ROUND(BH15/E15,2)</f>
        <v>0</v>
      </c>
      <c r="Q15" s="58">
        <f>P15+O15+N15+M15+L15+K15+J15+I15</f>
        <v>25575.471000000005</v>
      </c>
      <c r="R15" s="58">
        <f>ROUND((Z15+AB15+AC15)/E15,3)</f>
        <v>648.91999999999996</v>
      </c>
      <c r="S15" s="58">
        <f>ROUND(AY15/E15,2)</f>
        <v>0</v>
      </c>
      <c r="T15" s="170">
        <f>Q15+R15+S15</f>
        <v>26224.391000000003</v>
      </c>
      <c r="U15" s="93" t="s">
        <v>109</v>
      </c>
      <c r="V15" s="81">
        <v>1380202.9</v>
      </c>
      <c r="W15" s="58">
        <f>ROUND(V15*0.302,0)</f>
        <v>416821</v>
      </c>
      <c r="X15" s="81">
        <v>565219.17000000004</v>
      </c>
      <c r="Y15" s="58">
        <f>ROUND(X15*0.302,0)</f>
        <v>170696</v>
      </c>
      <c r="Z15" s="161">
        <v>33970</v>
      </c>
      <c r="AA15" s="161"/>
      <c r="AB15" s="161">
        <v>28546</v>
      </c>
      <c r="AC15" s="161">
        <v>2376</v>
      </c>
      <c r="AD15" s="161"/>
      <c r="AE15" s="161"/>
      <c r="AF15" s="161"/>
      <c r="AG15" s="161"/>
      <c r="AH15" s="161"/>
      <c r="AI15" s="161">
        <v>18551</v>
      </c>
      <c r="AJ15" s="161"/>
      <c r="AK15" s="161"/>
      <c r="AL15" s="58">
        <f>AD15+AE15+AF15+AG15+AH15+AI15+AK15+AJ15</f>
        <v>18551</v>
      </c>
      <c r="AM15" s="161">
        <v>6057</v>
      </c>
      <c r="AN15" s="161"/>
      <c r="AO15" s="161"/>
      <c r="AP15" s="161"/>
      <c r="AQ15" s="161"/>
      <c r="AR15" s="56"/>
      <c r="AS15" s="131" t="s">
        <v>109</v>
      </c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58">
        <f>V15+W15+X15+Y15+Z15+AA15+AB15+AC15+AD15+AE15+AF15+AG15+AH15+AI15+AJ15+AK15+AM15+AN15+AO15+AQ15+AR15+AT15+AU15+AV15+AW15+AX15++AY15+AZ15+BA15+BB15+BC15+BD15+BE15+BF15+BG15+BH15</f>
        <v>2622439.0699999998</v>
      </c>
      <c r="BJ15" s="161"/>
      <c r="BK15" s="161"/>
      <c r="BL15" s="67">
        <f>ROUND(BI15/E15,2)</f>
        <v>26224.39</v>
      </c>
      <c r="BM15" s="255">
        <f>V15+X15</f>
        <v>1945422.0699999998</v>
      </c>
      <c r="BN15" s="255">
        <f>W15+Y15</f>
        <v>587517</v>
      </c>
      <c r="BO15" s="255">
        <f>Z15+AA15+AB15+AC15</f>
        <v>64892</v>
      </c>
      <c r="BP15" s="255">
        <f>BG15</f>
        <v>0</v>
      </c>
      <c r="BQ15" s="81">
        <f>AL15+AM15+AN15+AO15+AP15+AQ15+AR15+AT15+AU15+AV15+AW15+AX15+AY15+AZ15+BA15+BB15+BE15</f>
        <v>24608</v>
      </c>
      <c r="BR15" s="255">
        <f>BM15+BN15+BO15+BP15+BQ15</f>
        <v>2622439.0699999998</v>
      </c>
    </row>
    <row r="16" spans="1:70" ht="15" customHeight="1">
      <c r="A16" s="127"/>
      <c r="B16" s="127"/>
      <c r="C16" s="127"/>
      <c r="D16" s="127"/>
      <c r="E16" s="71"/>
      <c r="F16" s="71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71"/>
      <c r="V16" s="277"/>
      <c r="W16" s="277"/>
      <c r="X16" s="277"/>
      <c r="Y16" s="277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9"/>
      <c r="AS16" s="127"/>
      <c r="AT16" s="129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9"/>
      <c r="BI16" s="130"/>
      <c r="BJ16" s="128"/>
      <c r="BK16" s="128"/>
      <c r="BL16" s="128"/>
      <c r="BM16" s="277"/>
      <c r="BN16" s="277"/>
      <c r="BO16" s="277"/>
      <c r="BP16" s="277"/>
      <c r="BQ16" s="277"/>
      <c r="BR16" s="277"/>
    </row>
    <row r="17" spans="1:70" s="127" customFormat="1" ht="15.75">
      <c r="A17" s="413" t="s">
        <v>42</v>
      </c>
      <c r="B17" s="413"/>
      <c r="C17" s="413"/>
      <c r="D17" s="413"/>
      <c r="E17" s="414"/>
      <c r="F17" s="414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4"/>
      <c r="V17" s="417">
        <f t="shared" ref="V17:AC17" si="3">V13+V15</f>
        <v>14822583.000000002</v>
      </c>
      <c r="W17" s="417">
        <f t="shared" si="3"/>
        <v>4476420</v>
      </c>
      <c r="X17" s="417">
        <f t="shared" si="3"/>
        <v>6043822.2199999997</v>
      </c>
      <c r="Y17" s="417">
        <f t="shared" si="3"/>
        <v>1825256.6800000002</v>
      </c>
      <c r="Z17" s="417">
        <f t="shared" si="3"/>
        <v>428887</v>
      </c>
      <c r="AA17" s="417">
        <f t="shared" si="3"/>
        <v>0</v>
      </c>
      <c r="AB17" s="417">
        <f t="shared" si="3"/>
        <v>360399</v>
      </c>
      <c r="AC17" s="417">
        <f t="shared" si="3"/>
        <v>30741</v>
      </c>
      <c r="AD17" s="417">
        <f t="shared" ref="AD17:AR17" si="4">AD13+AD15</f>
        <v>44911.95</v>
      </c>
      <c r="AE17" s="417">
        <f t="shared" si="4"/>
        <v>0</v>
      </c>
      <c r="AF17" s="417">
        <f t="shared" si="4"/>
        <v>0</v>
      </c>
      <c r="AG17" s="417">
        <f t="shared" si="4"/>
        <v>0</v>
      </c>
      <c r="AH17" s="417">
        <f t="shared" si="4"/>
        <v>0</v>
      </c>
      <c r="AI17" s="417">
        <f t="shared" si="4"/>
        <v>141982</v>
      </c>
      <c r="AJ17" s="417">
        <f t="shared" si="4"/>
        <v>0</v>
      </c>
      <c r="AK17" s="417">
        <f t="shared" si="4"/>
        <v>0</v>
      </c>
      <c r="AL17" s="417">
        <f t="shared" si="4"/>
        <v>186893.95</v>
      </c>
      <c r="AM17" s="417">
        <f t="shared" si="4"/>
        <v>37773</v>
      </c>
      <c r="AN17" s="417">
        <f t="shared" si="4"/>
        <v>15564</v>
      </c>
      <c r="AO17" s="417">
        <f t="shared" si="4"/>
        <v>82869</v>
      </c>
      <c r="AP17" s="417">
        <f t="shared" si="4"/>
        <v>54757</v>
      </c>
      <c r="AQ17" s="417">
        <f t="shared" si="4"/>
        <v>215070</v>
      </c>
      <c r="AR17" s="417">
        <f t="shared" si="4"/>
        <v>0</v>
      </c>
      <c r="AS17" s="413"/>
      <c r="AT17" s="416">
        <f>AT13+AT15</f>
        <v>0</v>
      </c>
      <c r="AU17" s="417">
        <f t="shared" ref="AU17:BE17" si="5">AU13+AU15</f>
        <v>63270</v>
      </c>
      <c r="AV17" s="417">
        <f t="shared" si="5"/>
        <v>34776</v>
      </c>
      <c r="AW17" s="417">
        <f t="shared" si="5"/>
        <v>39960</v>
      </c>
      <c r="AX17" s="417">
        <f t="shared" si="5"/>
        <v>0</v>
      </c>
      <c r="AY17" s="417">
        <f t="shared" si="5"/>
        <v>0</v>
      </c>
      <c r="AZ17" s="417">
        <f t="shared" si="5"/>
        <v>0</v>
      </c>
      <c r="BA17" s="417">
        <f t="shared" si="5"/>
        <v>74996</v>
      </c>
      <c r="BB17" s="417">
        <f t="shared" si="5"/>
        <v>9230</v>
      </c>
      <c r="BC17" s="417">
        <f t="shared" si="5"/>
        <v>0</v>
      </c>
      <c r="BD17" s="417">
        <f t="shared" si="5"/>
        <v>0</v>
      </c>
      <c r="BE17" s="417">
        <f t="shared" si="5"/>
        <v>27831</v>
      </c>
      <c r="BF17" s="417"/>
      <c r="BG17" s="417"/>
      <c r="BH17" s="416"/>
      <c r="BI17" s="415"/>
      <c r="BJ17" s="417"/>
      <c r="BK17" s="417"/>
      <c r="BL17" s="417"/>
      <c r="BM17" s="418">
        <f t="shared" ref="BM17:BR17" si="6">BM11+BM12+BM15</f>
        <v>20866405.219999999</v>
      </c>
      <c r="BN17" s="418">
        <f t="shared" si="6"/>
        <v>6301676.6799999997</v>
      </c>
      <c r="BO17" s="418">
        <f t="shared" si="6"/>
        <v>820027</v>
      </c>
      <c r="BP17" s="418">
        <f t="shared" si="6"/>
        <v>1260300</v>
      </c>
      <c r="BQ17" s="418">
        <f t="shared" si="6"/>
        <v>842989.95</v>
      </c>
      <c r="BR17" s="418">
        <f t="shared" si="6"/>
        <v>30091398.850000001</v>
      </c>
    </row>
    <row r="20" spans="1:70">
      <c r="X20" s="571"/>
      <c r="BM20" s="572"/>
      <c r="BN20" s="572"/>
      <c r="BO20" s="572"/>
      <c r="BP20" s="572"/>
      <c r="BQ20" s="572"/>
      <c r="BR20" s="572"/>
    </row>
    <row r="23" spans="1:70">
      <c r="V23" s="572"/>
      <c r="W23" s="572"/>
      <c r="X23" s="572"/>
    </row>
    <row r="24" spans="1:70">
      <c r="V24" s="572"/>
      <c r="W24" s="572"/>
      <c r="X24" s="572"/>
    </row>
    <row r="25" spans="1:70" ht="32.25" hidden="1" outlineLevel="1">
      <c r="G25" s="411" t="s">
        <v>378</v>
      </c>
      <c r="H25" s="127"/>
      <c r="I25" s="129"/>
      <c r="V25" s="572"/>
      <c r="W25" s="572"/>
      <c r="X25" s="572"/>
    </row>
    <row r="26" spans="1:70" hidden="1" outlineLevel="1">
      <c r="F26" s="119" t="s">
        <v>380</v>
      </c>
      <c r="G26" s="128">
        <v>5157300</v>
      </c>
      <c r="H26" s="127"/>
      <c r="I26" s="129">
        <v>4098940</v>
      </c>
      <c r="V26" s="572"/>
      <c r="W26" s="572"/>
      <c r="X26" s="572"/>
      <c r="AB26" s="116"/>
    </row>
    <row r="27" spans="1:70" hidden="1" outlineLevel="1">
      <c r="F27" s="119" t="s">
        <v>381</v>
      </c>
      <c r="G27" s="128">
        <v>5380500</v>
      </c>
      <c r="H27" s="127"/>
      <c r="I27" s="129">
        <v>4266737</v>
      </c>
      <c r="V27" s="572"/>
      <c r="W27" s="572"/>
      <c r="X27" s="572"/>
      <c r="AB27" s="116"/>
    </row>
    <row r="28" spans="1:70" hidden="1" outlineLevel="1">
      <c r="F28" s="119" t="s">
        <v>382</v>
      </c>
      <c r="G28" s="128">
        <v>755300</v>
      </c>
      <c r="H28" s="127"/>
      <c r="I28" s="129">
        <v>598253</v>
      </c>
      <c r="V28" s="572"/>
      <c r="W28" s="572"/>
      <c r="X28" s="572"/>
      <c r="AB28" s="116"/>
    </row>
    <row r="29" spans="1:70" hidden="1" outlineLevel="1">
      <c r="F29" s="119" t="s">
        <v>383</v>
      </c>
      <c r="G29" s="128">
        <v>7183800</v>
      </c>
      <c r="H29" s="127"/>
      <c r="I29" s="129">
        <v>5696800</v>
      </c>
      <c r="V29" s="572"/>
      <c r="W29" s="572"/>
      <c r="X29" s="572"/>
      <c r="AB29" s="116"/>
    </row>
    <row r="30" spans="1:70" hidden="1" outlineLevel="1">
      <c r="G30" s="128">
        <f>SUM(G26:G29)</f>
        <v>18476900</v>
      </c>
      <c r="H30" s="127"/>
      <c r="I30" s="129">
        <v>14660730</v>
      </c>
      <c r="V30" s="572"/>
      <c r="W30" s="572"/>
      <c r="X30" s="572"/>
      <c r="AB30" s="116"/>
    </row>
    <row r="31" spans="1:70" hidden="1" outlineLevel="1">
      <c r="V31" s="572"/>
      <c r="W31" s="572"/>
      <c r="X31" s="572"/>
    </row>
    <row r="32" spans="1:70" hidden="1" outlineLevel="1">
      <c r="G32" s="412">
        <v>0.79300000000000004</v>
      </c>
      <c r="I32" s="114">
        <f>I26+I27+I28+I29</f>
        <v>14660730</v>
      </c>
      <c r="V32" s="572"/>
      <c r="W32" s="572"/>
      <c r="X32" s="572"/>
    </row>
    <row r="33" spans="22:30" hidden="1" outlineLevel="1">
      <c r="V33" s="572"/>
      <c r="W33" s="572"/>
      <c r="X33" s="572"/>
    </row>
    <row r="34" spans="22:30" collapsed="1">
      <c r="V34" s="572"/>
      <c r="W34" s="572"/>
      <c r="X34" s="572"/>
    </row>
    <row r="35" spans="22:30">
      <c r="V35" s="572"/>
      <c r="W35" s="572"/>
      <c r="X35" s="572"/>
    </row>
    <row r="36" spans="22:30">
      <c r="V36" s="572"/>
      <c r="W36" s="572"/>
      <c r="X36" s="572"/>
      <c r="AD36" s="608"/>
    </row>
    <row r="37" spans="22:30">
      <c r="V37" s="572"/>
      <c r="W37" s="572"/>
      <c r="X37" s="572"/>
      <c r="AD37" s="609"/>
    </row>
  </sheetData>
  <mergeCells count="101">
    <mergeCell ref="A1:T1"/>
    <mergeCell ref="A2:T2"/>
    <mergeCell ref="AM5:AR5"/>
    <mergeCell ref="G5:I5"/>
    <mergeCell ref="O5:O9"/>
    <mergeCell ref="G7:G9"/>
    <mergeCell ref="V3:BL3"/>
    <mergeCell ref="BF4:BF9"/>
    <mergeCell ref="G3:P3"/>
    <mergeCell ref="V6:V9"/>
    <mergeCell ref="Z8:Z9"/>
    <mergeCell ref="AB8:AB9"/>
    <mergeCell ref="AC8:AC9"/>
    <mergeCell ref="N5:N9"/>
    <mergeCell ref="P5:P9"/>
    <mergeCell ref="R5:R9"/>
    <mergeCell ref="X6:X9"/>
    <mergeCell ref="S5:S9"/>
    <mergeCell ref="U3:U9"/>
    <mergeCell ref="G4:P4"/>
    <mergeCell ref="L5:L9"/>
    <mergeCell ref="M5:M9"/>
    <mergeCell ref="I7:I9"/>
    <mergeCell ref="Q3:Q9"/>
    <mergeCell ref="K5:K9"/>
    <mergeCell ref="F3:F9"/>
    <mergeCell ref="J5:J9"/>
    <mergeCell ref="AT7:AT9"/>
    <mergeCell ref="BA4:BE4"/>
    <mergeCell ref="V4:Y4"/>
    <mergeCell ref="W6:W9"/>
    <mergeCell ref="V5:Y5"/>
    <mergeCell ref="Y6:Y9"/>
    <mergeCell ref="AP8:AP9"/>
    <mergeCell ref="AM6:AR7"/>
    <mergeCell ref="BA7:BA9"/>
    <mergeCell ref="AW8:AW9"/>
    <mergeCell ref="AT5:AZ5"/>
    <mergeCell ref="AS4:AS9"/>
    <mergeCell ref="AV8:AV9"/>
    <mergeCell ref="AO8:AO9"/>
    <mergeCell ref="AK8:AK9"/>
    <mergeCell ref="AI8:AI9"/>
    <mergeCell ref="AD6:AL7"/>
    <mergeCell ref="AG8:AG9"/>
    <mergeCell ref="AL8:AL9"/>
    <mergeCell ref="AM8:AM9"/>
    <mergeCell ref="AQ8:AQ9"/>
    <mergeCell ref="AN8:AN9"/>
    <mergeCell ref="BA5:BD5"/>
    <mergeCell ref="BC7:BD9"/>
    <mergeCell ref="AY7:AY9"/>
    <mergeCell ref="Z4:AR4"/>
    <mergeCell ref="Z6:AC7"/>
    <mergeCell ref="AF8:AF9"/>
    <mergeCell ref="AU7:AU9"/>
    <mergeCell ref="AJ8:AJ9"/>
    <mergeCell ref="AR8:AR9"/>
    <mergeCell ref="BK1:BR1"/>
    <mergeCell ref="BM3:BR3"/>
    <mergeCell ref="BM4:BR4"/>
    <mergeCell ref="BL4:BL9"/>
    <mergeCell ref="BM5:BM9"/>
    <mergeCell ref="BO5:BO9"/>
    <mergeCell ref="BE5:BE6"/>
    <mergeCell ref="BB7:BB9"/>
    <mergeCell ref="BQ5:BQ9"/>
    <mergeCell ref="BC6:BD6"/>
    <mergeCell ref="BH4:BH9"/>
    <mergeCell ref="BG4:BG9"/>
    <mergeCell ref="BR5:BR9"/>
    <mergeCell ref="BP5:BP9"/>
    <mergeCell ref="BE7:BE9"/>
    <mergeCell ref="BN5:BN9"/>
    <mergeCell ref="BJ4:BJ9"/>
    <mergeCell ref="BK4:BK9"/>
    <mergeCell ref="BI4:BI9"/>
    <mergeCell ref="A11:A12"/>
    <mergeCell ref="F11:F12"/>
    <mergeCell ref="U11:U12"/>
    <mergeCell ref="A3:A9"/>
    <mergeCell ref="C3:C9"/>
    <mergeCell ref="AV7:AX7"/>
    <mergeCell ref="AT6:AX6"/>
    <mergeCell ref="AT4:AZ4"/>
    <mergeCell ref="AX8:AX9"/>
    <mergeCell ref="AZ7:AZ9"/>
    <mergeCell ref="AS11:AS12"/>
    <mergeCell ref="E3:E9"/>
    <mergeCell ref="B3:B9"/>
    <mergeCell ref="D3:D9"/>
    <mergeCell ref="AH8:AH9"/>
    <mergeCell ref="AE8:AE9"/>
    <mergeCell ref="Z5:AC5"/>
    <mergeCell ref="AD5:AL5"/>
    <mergeCell ref="AD8:AD9"/>
    <mergeCell ref="AA8:AA9"/>
    <mergeCell ref="H7:H9"/>
    <mergeCell ref="G6:I6"/>
    <mergeCell ref="R3:S4"/>
    <mergeCell ref="T3:T9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BS12"/>
  <sheetViews>
    <sheetView topLeftCell="AP1" zoomScaleNormal="70" workbookViewId="0">
      <pane ySplit="9" topLeftCell="A10" activePane="bottomLeft" state="frozen"/>
      <selection pane="bottomLeft" activeCell="R16" sqref="R16"/>
    </sheetView>
  </sheetViews>
  <sheetFormatPr defaultRowHeight="12.75"/>
  <cols>
    <col min="1" max="1" width="34.42578125" style="3" customWidth="1"/>
    <col min="2" max="2" width="8" style="3" customWidth="1"/>
    <col min="3" max="3" width="8.7109375" style="3" customWidth="1"/>
    <col min="4" max="4" width="18.28515625" style="3" customWidth="1"/>
    <col min="5" max="5" width="10.140625" style="3" customWidth="1"/>
    <col min="6" max="6" width="10.85546875" style="3" customWidth="1"/>
    <col min="7" max="7" width="11.7109375" style="3" customWidth="1"/>
    <col min="8" max="9" width="12.5703125" style="3" customWidth="1"/>
    <col min="10" max="10" width="12.85546875" style="3" customWidth="1"/>
    <col min="11" max="11" width="11.85546875" style="3" customWidth="1"/>
    <col min="12" max="12" width="11.5703125" style="3" customWidth="1"/>
    <col min="13" max="13" width="10" style="3" customWidth="1"/>
    <col min="14" max="14" width="10.42578125" style="3" customWidth="1"/>
    <col min="15" max="15" width="10.140625" style="3" customWidth="1"/>
    <col min="16" max="16" width="10.5703125" style="3" customWidth="1"/>
    <col min="17" max="17" width="10.7109375" style="3" customWidth="1"/>
    <col min="18" max="18" width="13" style="3" customWidth="1"/>
    <col min="19" max="19" width="12.85546875" style="3" customWidth="1"/>
    <col min="20" max="20" width="17.5703125" style="17" customWidth="1"/>
    <col min="21" max="21" width="13.7109375" style="17" customWidth="1"/>
    <col min="22" max="22" width="13" style="17" customWidth="1"/>
    <col min="23" max="23" width="13.140625" style="17" customWidth="1"/>
    <col min="24" max="24" width="12.140625" style="17" customWidth="1"/>
    <col min="25" max="25" width="11.85546875" style="17" customWidth="1"/>
    <col min="26" max="26" width="12" style="17" customWidth="1"/>
    <col min="27" max="27" width="9.85546875" style="17" customWidth="1"/>
    <col min="28" max="28" width="10.5703125" style="17" customWidth="1"/>
    <col min="29" max="29" width="9.140625" style="17" customWidth="1"/>
    <col min="30" max="30" width="10" style="17" customWidth="1"/>
    <col min="31" max="31" width="9.5703125" style="17" customWidth="1"/>
    <col min="32" max="32" width="10.28515625" style="17" customWidth="1"/>
    <col min="33" max="33" width="11.28515625" style="17" customWidth="1"/>
    <col min="34" max="35" width="10.85546875" style="17" customWidth="1"/>
    <col min="36" max="36" width="10" style="17" customWidth="1"/>
    <col min="37" max="37" width="10.140625" style="17" customWidth="1"/>
    <col min="38" max="38" width="11.85546875" style="17" customWidth="1"/>
    <col min="39" max="39" width="9.140625" style="17" customWidth="1"/>
    <col min="40" max="40" width="10" style="17" customWidth="1"/>
    <col min="41" max="41" width="11" style="17" customWidth="1"/>
    <col min="42" max="42" width="9.140625" style="17" customWidth="1"/>
    <col min="43" max="43" width="20.85546875" style="3" hidden="1" customWidth="1"/>
    <col min="44" max="44" width="10.140625" style="17" customWidth="1"/>
    <col min="45" max="45" width="11.5703125" style="17" customWidth="1"/>
    <col min="46" max="46" width="10.42578125" style="17" customWidth="1"/>
    <col min="47" max="47" width="6.5703125" style="17" hidden="1" customWidth="1"/>
    <col min="48" max="48" width="7.28515625" style="17" hidden="1" customWidth="1"/>
    <col min="49" max="49" width="11.28515625" style="17" customWidth="1"/>
    <col min="50" max="50" width="0.85546875" style="17" hidden="1" customWidth="1"/>
    <col min="51" max="51" width="10.85546875" style="17" customWidth="1"/>
    <col min="52" max="52" width="9.140625" style="5" customWidth="1"/>
    <col min="53" max="54" width="9.28515625" style="5" hidden="1" customWidth="1"/>
    <col min="55" max="55" width="9.42578125" style="5" customWidth="1"/>
    <col min="56" max="56" width="12.28515625" style="5" customWidth="1"/>
    <col min="57" max="57" width="9.85546875" style="5" customWidth="1"/>
    <col min="58" max="58" width="11" style="5" customWidth="1"/>
    <col min="59" max="59" width="13.42578125" style="16" customWidth="1"/>
    <col min="60" max="60" width="13.5703125" style="16" hidden="1" customWidth="1"/>
    <col min="61" max="61" width="11" style="16" hidden="1" customWidth="1"/>
    <col min="62" max="62" width="8.7109375" customWidth="1"/>
    <col min="63" max="63" width="11.85546875" customWidth="1"/>
    <col min="64" max="64" width="14.7109375" customWidth="1"/>
    <col min="65" max="65" width="14.28515625" customWidth="1"/>
    <col min="66" max="66" width="12.85546875" customWidth="1"/>
    <col min="67" max="67" width="11.42578125" customWidth="1"/>
    <col min="68" max="68" width="12.85546875" customWidth="1"/>
    <col min="69" max="69" width="12.5703125" customWidth="1"/>
    <col min="70" max="70" width="14.28515625" customWidth="1"/>
    <col min="71" max="71" width="15.5703125" customWidth="1"/>
  </cols>
  <sheetData>
    <row r="1" spans="1:71" ht="27" customHeight="1">
      <c r="A1" s="664" t="s">
        <v>404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  <c r="N1" s="1007"/>
      <c r="O1" s="1007"/>
      <c r="P1" s="1007"/>
      <c r="Q1" s="1007"/>
      <c r="R1" s="1007"/>
      <c r="S1" s="1007"/>
      <c r="T1" s="256"/>
      <c r="BJ1" s="769"/>
      <c r="BK1" s="769"/>
      <c r="BL1" s="769"/>
      <c r="BM1" s="769"/>
    </row>
    <row r="2" spans="1:71" ht="20.25" customHeight="1">
      <c r="A2" s="4"/>
      <c r="B2" s="718" t="s">
        <v>186</v>
      </c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7"/>
      <c r="Q2" s="767"/>
      <c r="R2" s="767"/>
      <c r="S2" s="767"/>
      <c r="T2" s="6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6"/>
      <c r="AR2" s="19"/>
      <c r="AS2" s="19"/>
      <c r="AT2" s="309"/>
      <c r="AU2" s="19"/>
      <c r="AV2" s="19"/>
      <c r="AW2" s="19"/>
      <c r="AX2" s="19"/>
      <c r="AY2" s="19"/>
      <c r="BG2" s="18"/>
      <c r="BJ2" s="16"/>
      <c r="BK2" s="6"/>
      <c r="BL2" s="71"/>
      <c r="BM2" s="71"/>
      <c r="BN2" s="71"/>
      <c r="BO2" s="71"/>
      <c r="BP2" s="71"/>
      <c r="BQ2" s="71"/>
      <c r="BR2" s="71"/>
      <c r="BS2" s="71"/>
    </row>
    <row r="3" spans="1:71" ht="28.5" customHeight="1">
      <c r="A3" s="711" t="s">
        <v>0</v>
      </c>
      <c r="B3" s="713" t="s">
        <v>2</v>
      </c>
      <c r="C3" s="713" t="s">
        <v>1</v>
      </c>
      <c r="D3" s="673" t="s">
        <v>68</v>
      </c>
      <c r="E3" s="722" t="s">
        <v>350</v>
      </c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675" t="s">
        <v>55</v>
      </c>
      <c r="Q3" s="724" t="s">
        <v>56</v>
      </c>
      <c r="R3" s="725"/>
      <c r="S3" s="678" t="s">
        <v>54</v>
      </c>
      <c r="T3" s="673" t="s">
        <v>68</v>
      </c>
      <c r="U3" s="682" t="s">
        <v>60</v>
      </c>
      <c r="V3" s="683"/>
      <c r="W3" s="683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  <c r="BA3" s="684"/>
      <c r="BB3" s="684"/>
      <c r="BC3" s="684"/>
      <c r="BD3" s="684"/>
      <c r="BE3" s="684"/>
      <c r="BF3" s="684"/>
      <c r="BG3" s="684"/>
      <c r="BH3" s="684"/>
      <c r="BI3" s="684"/>
      <c r="BJ3" s="685"/>
      <c r="BK3" s="82"/>
      <c r="BL3" s="687"/>
      <c r="BM3" s="687"/>
      <c r="BN3" s="687"/>
      <c r="BO3" s="687"/>
      <c r="BP3" s="687"/>
      <c r="BQ3" s="687"/>
      <c r="BR3" s="687"/>
      <c r="BS3" s="687"/>
    </row>
    <row r="4" spans="1:71" s="1" customFormat="1" ht="45.75" customHeight="1">
      <c r="A4" s="712"/>
      <c r="B4" s="674"/>
      <c r="C4" s="674"/>
      <c r="D4" s="674"/>
      <c r="E4" s="680" t="s">
        <v>59</v>
      </c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74"/>
      <c r="Q4" s="726"/>
      <c r="R4" s="727"/>
      <c r="S4" s="679"/>
      <c r="T4" s="674"/>
      <c r="U4" s="676" t="s">
        <v>62</v>
      </c>
      <c r="V4" s="676"/>
      <c r="W4" s="676"/>
      <c r="X4" s="677"/>
      <c r="Y4" s="688" t="s">
        <v>8</v>
      </c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73" t="s">
        <v>68</v>
      </c>
      <c r="AR4" s="688" t="s">
        <v>19</v>
      </c>
      <c r="AS4" s="688"/>
      <c r="AT4" s="688"/>
      <c r="AU4" s="688"/>
      <c r="AV4" s="688"/>
      <c r="AW4" s="688"/>
      <c r="AX4" s="688"/>
      <c r="AY4" s="676" t="s">
        <v>19</v>
      </c>
      <c r="AZ4" s="676"/>
      <c r="BA4" s="676"/>
      <c r="BB4" s="676"/>
      <c r="BC4" s="676"/>
      <c r="BD4" s="676" t="s">
        <v>20</v>
      </c>
      <c r="BE4" s="676" t="s">
        <v>397</v>
      </c>
      <c r="BF4" s="676" t="s">
        <v>13</v>
      </c>
      <c r="BG4" s="676" t="s">
        <v>22</v>
      </c>
      <c r="BH4" s="704" t="s">
        <v>23</v>
      </c>
      <c r="BI4" s="704" t="s">
        <v>24</v>
      </c>
      <c r="BJ4" s="703" t="s">
        <v>25</v>
      </c>
      <c r="BK4" s="731" t="s">
        <v>68</v>
      </c>
      <c r="BL4" s="1046" t="s">
        <v>129</v>
      </c>
      <c r="BM4" s="1047"/>
      <c r="BN4" s="1047"/>
      <c r="BO4" s="1047"/>
      <c r="BP4" s="1047"/>
      <c r="BQ4" s="1047"/>
      <c r="BR4" s="1047"/>
      <c r="BS4" s="1048"/>
    </row>
    <row r="5" spans="1:71" s="2" customFormat="1" ht="67.5" customHeight="1">
      <c r="A5" s="712"/>
      <c r="B5" s="674"/>
      <c r="C5" s="674"/>
      <c r="D5" s="674"/>
      <c r="E5" s="680" t="s">
        <v>53</v>
      </c>
      <c r="F5" s="681"/>
      <c r="G5" s="681"/>
      <c r="H5" s="680" t="s">
        <v>27</v>
      </c>
      <c r="I5" s="680" t="s">
        <v>10</v>
      </c>
      <c r="J5" s="680" t="s">
        <v>5</v>
      </c>
      <c r="K5" s="680" t="s">
        <v>51</v>
      </c>
      <c r="L5" s="680" t="s">
        <v>136</v>
      </c>
      <c r="M5" s="680" t="s">
        <v>424</v>
      </c>
      <c r="N5" s="680" t="s">
        <v>13</v>
      </c>
      <c r="O5" s="680" t="s">
        <v>21</v>
      </c>
      <c r="P5" s="674"/>
      <c r="Q5" s="680" t="s">
        <v>16</v>
      </c>
      <c r="R5" s="680" t="s">
        <v>52</v>
      </c>
      <c r="S5" s="679"/>
      <c r="T5" s="674"/>
      <c r="U5" s="676" t="s">
        <v>66</v>
      </c>
      <c r="V5" s="677"/>
      <c r="W5" s="677"/>
      <c r="X5" s="677"/>
      <c r="Y5" s="676" t="s">
        <v>63</v>
      </c>
      <c r="Z5" s="676"/>
      <c r="AA5" s="676"/>
      <c r="AB5" s="692">
        <v>340</v>
      </c>
      <c r="AC5" s="692"/>
      <c r="AD5" s="692"/>
      <c r="AE5" s="692"/>
      <c r="AF5" s="692"/>
      <c r="AG5" s="692"/>
      <c r="AH5" s="692"/>
      <c r="AI5" s="692"/>
      <c r="AJ5" s="692"/>
      <c r="AK5" s="676" t="s">
        <v>4</v>
      </c>
      <c r="AL5" s="676"/>
      <c r="AM5" s="676"/>
      <c r="AN5" s="676"/>
      <c r="AO5" s="676"/>
      <c r="AP5" s="676"/>
      <c r="AQ5" s="674"/>
      <c r="AR5" s="676" t="s">
        <v>5</v>
      </c>
      <c r="AS5" s="676"/>
      <c r="AT5" s="676"/>
      <c r="AU5" s="676"/>
      <c r="AV5" s="676"/>
      <c r="AW5" s="676"/>
      <c r="AX5" s="676"/>
      <c r="AY5" s="676" t="s">
        <v>6</v>
      </c>
      <c r="AZ5" s="717"/>
      <c r="BA5" s="677"/>
      <c r="BB5" s="677"/>
      <c r="BC5" s="692">
        <v>290</v>
      </c>
      <c r="BD5" s="676"/>
      <c r="BE5" s="676"/>
      <c r="BF5" s="676"/>
      <c r="BG5" s="676"/>
      <c r="BH5" s="704"/>
      <c r="BI5" s="704"/>
      <c r="BJ5" s="703"/>
      <c r="BK5" s="712"/>
      <c r="BL5" s="691">
        <v>2110</v>
      </c>
      <c r="BM5" s="691">
        <v>2130</v>
      </c>
      <c r="BN5" s="691">
        <v>2230</v>
      </c>
      <c r="BO5" s="691">
        <v>7500</v>
      </c>
      <c r="BP5" s="691">
        <v>7520</v>
      </c>
      <c r="BQ5" s="691">
        <v>2620</v>
      </c>
      <c r="BR5" s="691">
        <v>7660</v>
      </c>
      <c r="BS5" s="691" t="s">
        <v>130</v>
      </c>
    </row>
    <row r="6" spans="1:71" s="2" customFormat="1" ht="45.75" customHeight="1">
      <c r="A6" s="712"/>
      <c r="B6" s="674"/>
      <c r="C6" s="674"/>
      <c r="D6" s="674"/>
      <c r="E6" s="680" t="s">
        <v>26</v>
      </c>
      <c r="F6" s="680"/>
      <c r="G6" s="680"/>
      <c r="H6" s="681"/>
      <c r="I6" s="681"/>
      <c r="J6" s="681"/>
      <c r="K6" s="681"/>
      <c r="L6" s="681"/>
      <c r="M6" s="681"/>
      <c r="N6" s="681"/>
      <c r="O6" s="681"/>
      <c r="P6" s="674"/>
      <c r="Q6" s="681"/>
      <c r="R6" s="681"/>
      <c r="S6" s="679"/>
      <c r="T6" s="674"/>
      <c r="U6" s="676" t="s">
        <v>3</v>
      </c>
      <c r="V6" s="676" t="s">
        <v>64</v>
      </c>
      <c r="W6" s="676" t="s">
        <v>12</v>
      </c>
      <c r="X6" s="676" t="s">
        <v>65</v>
      </c>
      <c r="Y6" s="676" t="s">
        <v>16</v>
      </c>
      <c r="Z6" s="676"/>
      <c r="AA6" s="676"/>
      <c r="AB6" s="676" t="s">
        <v>27</v>
      </c>
      <c r="AC6" s="676"/>
      <c r="AD6" s="676"/>
      <c r="AE6" s="676"/>
      <c r="AF6" s="676"/>
      <c r="AG6" s="676"/>
      <c r="AH6" s="676"/>
      <c r="AI6" s="676"/>
      <c r="AJ6" s="676"/>
      <c r="AK6" s="676" t="s">
        <v>10</v>
      </c>
      <c r="AL6" s="676"/>
      <c r="AM6" s="676"/>
      <c r="AN6" s="676"/>
      <c r="AO6" s="676"/>
      <c r="AP6" s="676"/>
      <c r="AQ6" s="674"/>
      <c r="AR6" s="692">
        <v>225</v>
      </c>
      <c r="AS6" s="692"/>
      <c r="AT6" s="692"/>
      <c r="AU6" s="692"/>
      <c r="AV6" s="692"/>
      <c r="AW6" s="47">
        <v>290</v>
      </c>
      <c r="AX6" s="47">
        <v>224</v>
      </c>
      <c r="AY6" s="20" t="s">
        <v>4</v>
      </c>
      <c r="AZ6" s="20" t="s">
        <v>4</v>
      </c>
      <c r="BA6" s="676" t="s">
        <v>4</v>
      </c>
      <c r="BB6" s="676"/>
      <c r="BC6" s="692"/>
      <c r="BD6" s="676"/>
      <c r="BE6" s="676"/>
      <c r="BF6" s="676"/>
      <c r="BG6" s="676"/>
      <c r="BH6" s="704"/>
      <c r="BI6" s="704"/>
      <c r="BJ6" s="703"/>
      <c r="BK6" s="712"/>
      <c r="BL6" s="691"/>
      <c r="BM6" s="691"/>
      <c r="BN6" s="691"/>
      <c r="BO6" s="691"/>
      <c r="BP6" s="691"/>
      <c r="BQ6" s="691"/>
      <c r="BR6" s="691"/>
      <c r="BS6" s="691"/>
    </row>
    <row r="7" spans="1:71" s="2" customFormat="1" ht="63.75" customHeight="1">
      <c r="A7" s="712"/>
      <c r="B7" s="674"/>
      <c r="C7" s="674"/>
      <c r="D7" s="674"/>
      <c r="E7" s="680" t="s">
        <v>3</v>
      </c>
      <c r="F7" s="680" t="s">
        <v>12</v>
      </c>
      <c r="G7" s="680" t="s">
        <v>11</v>
      </c>
      <c r="H7" s="681"/>
      <c r="I7" s="681"/>
      <c r="J7" s="681"/>
      <c r="K7" s="681"/>
      <c r="L7" s="681"/>
      <c r="M7" s="681"/>
      <c r="N7" s="681"/>
      <c r="O7" s="681"/>
      <c r="P7" s="674"/>
      <c r="Q7" s="681"/>
      <c r="R7" s="681"/>
      <c r="S7" s="679"/>
      <c r="T7" s="674"/>
      <c r="U7" s="677"/>
      <c r="V7" s="677"/>
      <c r="W7" s="677"/>
      <c r="X7" s="677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676"/>
      <c r="AQ7" s="674"/>
      <c r="AR7" s="676" t="s">
        <v>28</v>
      </c>
      <c r="AS7" s="676" t="s">
        <v>29</v>
      </c>
      <c r="AT7" s="676" t="s">
        <v>119</v>
      </c>
      <c r="AU7" s="676"/>
      <c r="AV7" s="676"/>
      <c r="AW7" s="676" t="s">
        <v>31</v>
      </c>
      <c r="AX7" s="676" t="s">
        <v>124</v>
      </c>
      <c r="AY7" s="793" t="s">
        <v>32</v>
      </c>
      <c r="AZ7" s="676" t="s">
        <v>33</v>
      </c>
      <c r="BA7" s="676" t="s">
        <v>34</v>
      </c>
      <c r="BB7" s="676"/>
      <c r="BC7" s="676" t="s">
        <v>126</v>
      </c>
      <c r="BD7" s="676"/>
      <c r="BE7" s="676"/>
      <c r="BF7" s="676"/>
      <c r="BG7" s="676"/>
      <c r="BH7" s="704"/>
      <c r="BI7" s="704"/>
      <c r="BJ7" s="703"/>
      <c r="BK7" s="712"/>
      <c r="BL7" s="691"/>
      <c r="BM7" s="691"/>
      <c r="BN7" s="691"/>
      <c r="BO7" s="691"/>
      <c r="BP7" s="691"/>
      <c r="BQ7" s="691"/>
      <c r="BR7" s="691"/>
      <c r="BS7" s="691"/>
    </row>
    <row r="8" spans="1:71" s="2" customFormat="1" ht="37.5" customHeight="1">
      <c r="A8" s="712"/>
      <c r="B8" s="674"/>
      <c r="C8" s="674"/>
      <c r="D8" s="674"/>
      <c r="E8" s="680"/>
      <c r="F8" s="680"/>
      <c r="G8" s="680"/>
      <c r="H8" s="681"/>
      <c r="I8" s="681"/>
      <c r="J8" s="681"/>
      <c r="K8" s="681"/>
      <c r="L8" s="681"/>
      <c r="M8" s="681"/>
      <c r="N8" s="681"/>
      <c r="O8" s="681"/>
      <c r="P8" s="674"/>
      <c r="Q8" s="681"/>
      <c r="R8" s="681"/>
      <c r="S8" s="679"/>
      <c r="T8" s="674"/>
      <c r="U8" s="677"/>
      <c r="V8" s="677"/>
      <c r="W8" s="677"/>
      <c r="X8" s="677"/>
      <c r="Y8" s="676" t="s">
        <v>9</v>
      </c>
      <c r="Z8" s="676" t="s">
        <v>17</v>
      </c>
      <c r="AA8" s="676" t="s">
        <v>18</v>
      </c>
      <c r="AB8" s="676" t="s">
        <v>36</v>
      </c>
      <c r="AC8" s="676" t="s">
        <v>37</v>
      </c>
      <c r="AD8" s="676" t="s">
        <v>38</v>
      </c>
      <c r="AE8" s="676" t="s">
        <v>39</v>
      </c>
      <c r="AF8" s="676" t="s">
        <v>40</v>
      </c>
      <c r="AG8" s="676" t="s">
        <v>14</v>
      </c>
      <c r="AH8" s="676" t="s">
        <v>41</v>
      </c>
      <c r="AI8" s="676" t="s">
        <v>15</v>
      </c>
      <c r="AJ8" s="1052" t="s">
        <v>42</v>
      </c>
      <c r="AK8" s="676" t="s">
        <v>43</v>
      </c>
      <c r="AL8" s="676" t="s">
        <v>423</v>
      </c>
      <c r="AM8" s="676" t="s">
        <v>44</v>
      </c>
      <c r="AN8" s="676" t="s">
        <v>45</v>
      </c>
      <c r="AO8" s="676" t="s">
        <v>46</v>
      </c>
      <c r="AP8" s="676" t="s">
        <v>47</v>
      </c>
      <c r="AQ8" s="674"/>
      <c r="AR8" s="676"/>
      <c r="AS8" s="676"/>
      <c r="AT8" s="676" t="s">
        <v>48</v>
      </c>
      <c r="AU8" s="676" t="s">
        <v>49</v>
      </c>
      <c r="AV8" s="676" t="s">
        <v>50</v>
      </c>
      <c r="AW8" s="676"/>
      <c r="AX8" s="676"/>
      <c r="AY8" s="1050"/>
      <c r="AZ8" s="676"/>
      <c r="BA8" s="676"/>
      <c r="BB8" s="676"/>
      <c r="BC8" s="676"/>
      <c r="BD8" s="676"/>
      <c r="BE8" s="676"/>
      <c r="BF8" s="676"/>
      <c r="BG8" s="676"/>
      <c r="BH8" s="704"/>
      <c r="BI8" s="704"/>
      <c r="BJ8" s="703"/>
      <c r="BK8" s="712"/>
      <c r="BL8" s="691"/>
      <c r="BM8" s="691"/>
      <c r="BN8" s="691"/>
      <c r="BO8" s="691"/>
      <c r="BP8" s="691"/>
      <c r="BQ8" s="691"/>
      <c r="BR8" s="691"/>
      <c r="BS8" s="691"/>
    </row>
    <row r="9" spans="1:71" s="2" customFormat="1" ht="34.5" customHeight="1">
      <c r="A9" s="712"/>
      <c r="B9" s="716"/>
      <c r="C9" s="716"/>
      <c r="D9" s="716"/>
      <c r="E9" s="680"/>
      <c r="F9" s="680"/>
      <c r="G9" s="680"/>
      <c r="H9" s="681"/>
      <c r="I9" s="681"/>
      <c r="J9" s="681"/>
      <c r="K9" s="681"/>
      <c r="L9" s="681"/>
      <c r="M9" s="681"/>
      <c r="N9" s="681"/>
      <c r="O9" s="681"/>
      <c r="P9" s="716"/>
      <c r="Q9" s="681"/>
      <c r="R9" s="681"/>
      <c r="S9" s="1049"/>
      <c r="T9" s="716"/>
      <c r="U9" s="677"/>
      <c r="V9" s="677"/>
      <c r="W9" s="677"/>
      <c r="X9" s="677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1052"/>
      <c r="AK9" s="676"/>
      <c r="AL9" s="676"/>
      <c r="AM9" s="676"/>
      <c r="AN9" s="676"/>
      <c r="AO9" s="676"/>
      <c r="AP9" s="676"/>
      <c r="AQ9" s="674"/>
      <c r="AR9" s="676"/>
      <c r="AS9" s="793"/>
      <c r="AT9" s="793"/>
      <c r="AU9" s="793"/>
      <c r="AV9" s="793"/>
      <c r="AW9" s="793"/>
      <c r="AX9" s="793"/>
      <c r="AY9" s="1051"/>
      <c r="AZ9" s="793"/>
      <c r="BA9" s="793"/>
      <c r="BB9" s="793"/>
      <c r="BC9" s="793"/>
      <c r="BD9" s="793"/>
      <c r="BE9" s="793"/>
      <c r="BF9" s="793"/>
      <c r="BG9" s="793"/>
      <c r="BH9" s="704"/>
      <c r="BI9" s="704"/>
      <c r="BJ9" s="703"/>
      <c r="BK9" s="712"/>
      <c r="BL9" s="691"/>
      <c r="BM9" s="691"/>
      <c r="BN9" s="691"/>
      <c r="BO9" s="691"/>
      <c r="BP9" s="691"/>
      <c r="BQ9" s="691"/>
      <c r="BR9" s="691"/>
      <c r="BS9" s="691"/>
    </row>
    <row r="10" spans="1:71" ht="120.75" customHeight="1">
      <c r="A10" s="9" t="s">
        <v>187</v>
      </c>
      <c r="B10" s="9" t="s">
        <v>112</v>
      </c>
      <c r="C10" s="313">
        <v>21900</v>
      </c>
      <c r="D10" s="62" t="s">
        <v>188</v>
      </c>
      <c r="E10" s="15">
        <f>ROUND((U10+V10)/C10,3)</f>
        <v>1743.662</v>
      </c>
      <c r="F10" s="15">
        <f>ROUND((W10+X10)/C10,3)</f>
        <v>592.39099999999996</v>
      </c>
      <c r="G10" s="15">
        <f>E10+F10</f>
        <v>2336.0529999999999</v>
      </c>
      <c r="H10" s="15">
        <f>ROUND((AJ10-AI10)/C10,3)</f>
        <v>32.872999999999998</v>
      </c>
      <c r="I10" s="15">
        <f>ROUND((AK10+AM10+AN10+AO10+AP10+AL10)/C10,3)</f>
        <v>49.762999999999998</v>
      </c>
      <c r="J10" s="15">
        <f>ROUND((AR10+AS10+AT10+AU10+AV10)/C10,3)</f>
        <v>6.0590000000000002</v>
      </c>
      <c r="K10" s="15">
        <f>ROUND((AY10+AZ10)/C10,3)</f>
        <v>8.4730000000000008</v>
      </c>
      <c r="L10" s="37">
        <f>ROUND(BD10/C10,3)</f>
        <v>111.378</v>
      </c>
      <c r="M10" s="37">
        <f>ROUND(BE10/C10,3)</f>
        <v>26.116</v>
      </c>
      <c r="N10" s="37">
        <f>ROUND(BF10/C10,3)</f>
        <v>38.095999999999997</v>
      </c>
      <c r="O10" s="37">
        <f>ROUND(AI10/C10,3)</f>
        <v>3.3479999999999999</v>
      </c>
      <c r="P10" s="15">
        <f>O10+N10+L10+K10+J10+I10+H10+G10+M10</f>
        <v>2612.1589999999997</v>
      </c>
      <c r="Q10" s="15">
        <f>ROUND((Y10+Z10+AA10)/C10,3)</f>
        <v>139.03299999999999</v>
      </c>
      <c r="R10" s="15">
        <f>ROUND((AW10+BC10)/C10,3)</f>
        <v>0.26900000000000002</v>
      </c>
      <c r="S10" s="24">
        <f>P10+Q10+R10</f>
        <v>2751.4609999999993</v>
      </c>
      <c r="T10" s="62" t="s">
        <v>188</v>
      </c>
      <c r="U10" s="15">
        <v>29063883</v>
      </c>
      <c r="V10" s="15">
        <f>ROUND(U10*0.313871,0)</f>
        <v>9122310</v>
      </c>
      <c r="W10" s="15">
        <v>9874160.0500000007</v>
      </c>
      <c r="X10" s="15">
        <f>ROUND(W10*0.31387,0)-8.5</f>
        <v>3099194.5</v>
      </c>
      <c r="Y10" s="15">
        <v>1664609</v>
      </c>
      <c r="Z10" s="15">
        <v>1196250</v>
      </c>
      <c r="AA10" s="15">
        <v>183960</v>
      </c>
      <c r="AB10" s="15">
        <v>97473</v>
      </c>
      <c r="AC10" s="15">
        <v>21040</v>
      </c>
      <c r="AD10" s="15">
        <v>35694</v>
      </c>
      <c r="AE10" s="15">
        <v>27078</v>
      </c>
      <c r="AF10" s="15">
        <v>25000</v>
      </c>
      <c r="AG10" s="15">
        <v>165415</v>
      </c>
      <c r="AH10" s="15">
        <v>348215.5</v>
      </c>
      <c r="AI10" s="15">
        <v>73313</v>
      </c>
      <c r="AJ10" s="611">
        <f>SUM(AB10:AI10)</f>
        <v>793228.5</v>
      </c>
      <c r="AK10" s="15">
        <v>96440.5</v>
      </c>
      <c r="AL10" s="15">
        <v>437004.83</v>
      </c>
      <c r="AM10" s="15">
        <v>1050</v>
      </c>
      <c r="AN10" s="15">
        <v>503239.31</v>
      </c>
      <c r="AO10" s="15">
        <v>11000</v>
      </c>
      <c r="AP10" s="15">
        <f>31015.64+10069.37</f>
        <v>41085.01</v>
      </c>
      <c r="AQ10" s="62" t="s">
        <v>188</v>
      </c>
      <c r="AR10" s="12">
        <v>3120</v>
      </c>
      <c r="AS10" s="12">
        <v>18000</v>
      </c>
      <c r="AT10" s="12">
        <v>111568.6</v>
      </c>
      <c r="AU10" s="15"/>
      <c r="AV10" s="15"/>
      <c r="AW10" s="15">
        <v>0</v>
      </c>
      <c r="AX10" s="15"/>
      <c r="AY10" s="12">
        <v>171299.9</v>
      </c>
      <c r="AZ10" s="12">
        <v>14260</v>
      </c>
      <c r="BA10" s="26"/>
      <c r="BB10" s="26"/>
      <c r="BC10" s="15">
        <v>5891.45</v>
      </c>
      <c r="BD10" s="15">
        <v>2439169</v>
      </c>
      <c r="BE10" s="15">
        <v>571930.30000000005</v>
      </c>
      <c r="BF10" s="15">
        <v>834300</v>
      </c>
      <c r="BG10" s="15">
        <f>U10+V10+W10+X10+Y10+Z10+AA10+AJ10+AK10+AL10+AM10+AN10+AO10+AP10+AR10+AS10+AT10+AW10+AY10+AZ10+BC10+BD10+BE10+BF10</f>
        <v>60256953.949999996</v>
      </c>
      <c r="BH10" s="15"/>
      <c r="BI10" s="15"/>
      <c r="BJ10" s="24">
        <f>ROUND(BG10/C10,3)</f>
        <v>2751.4589999999998</v>
      </c>
      <c r="BK10" s="62" t="s">
        <v>188</v>
      </c>
      <c r="BL10" s="58">
        <f>U10+W10</f>
        <v>38938043.049999997</v>
      </c>
      <c r="BM10" s="58">
        <f>V10+X10</f>
        <v>12221504.5</v>
      </c>
      <c r="BN10" s="58">
        <f>Y10+Z10+AA10</f>
        <v>3044819</v>
      </c>
      <c r="BO10" s="58">
        <f>BF10</f>
        <v>834300</v>
      </c>
      <c r="BP10" s="58">
        <f>BD10</f>
        <v>2439169</v>
      </c>
      <c r="BQ10" s="58">
        <f>BE10</f>
        <v>571930.30000000005</v>
      </c>
      <c r="BR10" s="58">
        <f>AJ10+AK10+AL10+AM10+AN10+AO10+AP10+AR10+AS10+AT10+AW10+AY10+AZ10+BC10</f>
        <v>2207188.1000000006</v>
      </c>
      <c r="BS10" s="58">
        <f>BL10+BM10+BN10+BO10+BR10+BP10+BQ10</f>
        <v>60256953.949999996</v>
      </c>
    </row>
    <row r="12" spans="1:71" ht="13.5" hidden="1">
      <c r="AA12" s="17" t="s">
        <v>425</v>
      </c>
      <c r="AB12" s="17">
        <v>97472.73</v>
      </c>
      <c r="AC12" s="17">
        <v>21040</v>
      </c>
      <c r="AD12" s="17">
        <v>70548.789999999994</v>
      </c>
      <c r="AE12" s="17">
        <v>27078</v>
      </c>
      <c r="AF12" s="17">
        <v>25000</v>
      </c>
      <c r="AG12" s="17">
        <v>165415</v>
      </c>
      <c r="AH12" s="17">
        <v>366915.55</v>
      </c>
      <c r="AI12" s="17">
        <v>18725</v>
      </c>
      <c r="AJ12" s="610">
        <f>SUM(AB12:AI12)</f>
        <v>792195.07000000007</v>
      </c>
    </row>
  </sheetData>
  <mergeCells count="98">
    <mergeCell ref="AN8:AN9"/>
    <mergeCell ref="Z8:Z9"/>
    <mergeCell ref="AA8:AA9"/>
    <mergeCell ref="X6:X9"/>
    <mergeCell ref="Y6:AA7"/>
    <mergeCell ref="AJ8:AJ9"/>
    <mergeCell ref="BJ1:BM1"/>
    <mergeCell ref="AK8:AK9"/>
    <mergeCell ref="AM8:AM9"/>
    <mergeCell ref="BH4:BH9"/>
    <mergeCell ref="BI4:BI9"/>
    <mergeCell ref="AP8:AP9"/>
    <mergeCell ref="AQ4:AQ9"/>
    <mergeCell ref="AT7:AV7"/>
    <mergeCell ref="U3:BJ3"/>
    <mergeCell ref="BL3:BS3"/>
    <mergeCell ref="BK4:BK9"/>
    <mergeCell ref="AR7:AR9"/>
    <mergeCell ref="BS5:BS9"/>
    <mergeCell ref="W6:W9"/>
    <mergeCell ref="Y8:Y9"/>
    <mergeCell ref="AB8:AB9"/>
    <mergeCell ref="B2:S2"/>
    <mergeCell ref="E3:O3"/>
    <mergeCell ref="P3:P9"/>
    <mergeCell ref="Q3:R4"/>
    <mergeCell ref="R5:R9"/>
    <mergeCell ref="C3:C9"/>
    <mergeCell ref="Q5:Q9"/>
    <mergeCell ref="H5:H9"/>
    <mergeCell ref="D3:D9"/>
    <mergeCell ref="B3:B9"/>
    <mergeCell ref="E5:G5"/>
    <mergeCell ref="I5:I9"/>
    <mergeCell ref="K5:K9"/>
    <mergeCell ref="O5:O9"/>
    <mergeCell ref="AB6:AJ7"/>
    <mergeCell ref="BE4:BE9"/>
    <mergeCell ref="AT8:AT9"/>
    <mergeCell ref="AD8:AD9"/>
    <mergeCell ref="AF8:AF9"/>
    <mergeCell ref="AC8:AC9"/>
    <mergeCell ref="AR6:AV6"/>
    <mergeCell ref="BA7:BB9"/>
    <mergeCell ref="AY7:AY9"/>
    <mergeCell ref="BC5:BC6"/>
    <mergeCell ref="AR4:AX4"/>
    <mergeCell ref="AW7:AW9"/>
    <mergeCell ref="AX7:AX9"/>
    <mergeCell ref="AU8:AU9"/>
    <mergeCell ref="AB5:AJ5"/>
    <mergeCell ref="AV8:AV9"/>
    <mergeCell ref="U5:X5"/>
    <mergeCell ref="V6:V9"/>
    <mergeCell ref="BF4:BF9"/>
    <mergeCell ref="AZ7:AZ9"/>
    <mergeCell ref="AE8:AE9"/>
    <mergeCell ref="AL8:AL9"/>
    <mergeCell ref="U4:X4"/>
    <mergeCell ref="Y4:AP4"/>
    <mergeCell ref="AO8:AO9"/>
    <mergeCell ref="AG8:AG9"/>
    <mergeCell ref="AS7:AS9"/>
    <mergeCell ref="U6:U9"/>
    <mergeCell ref="AY4:BC4"/>
    <mergeCell ref="AK5:AP5"/>
    <mergeCell ref="AR5:AX5"/>
    <mergeCell ref="AK6:AP7"/>
    <mergeCell ref="A1:S1"/>
    <mergeCell ref="A3:A9"/>
    <mergeCell ref="AH8:AH9"/>
    <mergeCell ref="AI8:AI9"/>
    <mergeCell ref="M5:M9"/>
    <mergeCell ref="L5:L9"/>
    <mergeCell ref="N5:N9"/>
    <mergeCell ref="E6:G6"/>
    <mergeCell ref="Y5:AA5"/>
    <mergeCell ref="S3:S9"/>
    <mergeCell ref="J5:J9"/>
    <mergeCell ref="E4:O4"/>
    <mergeCell ref="G7:G9"/>
    <mergeCell ref="E7:E9"/>
    <mergeCell ref="F7:F9"/>
    <mergeCell ref="T3:T9"/>
    <mergeCell ref="BL4:BS4"/>
    <mergeCell ref="BL5:BL9"/>
    <mergeCell ref="BM5:BM9"/>
    <mergeCell ref="BA6:BB6"/>
    <mergeCell ref="AY5:BB5"/>
    <mergeCell ref="BN5:BN9"/>
    <mergeCell ref="BO5:BO9"/>
    <mergeCell ref="BP5:BP9"/>
    <mergeCell ref="BR5:BR9"/>
    <mergeCell ref="BQ5:BQ9"/>
    <mergeCell ref="BJ4:BJ9"/>
    <mergeCell ref="BC7:BC9"/>
    <mergeCell ref="BD4:BD9"/>
    <mergeCell ref="BG4:BG9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BN11"/>
  <sheetViews>
    <sheetView topLeftCell="P1" zoomScale="80" zoomScaleNormal="80" workbookViewId="0">
      <pane ySplit="2" topLeftCell="A3" activePane="bottomLeft" state="frozen"/>
      <selection pane="bottomLeft" activeCell="BG10" sqref="BG10"/>
    </sheetView>
  </sheetViews>
  <sheetFormatPr defaultRowHeight="12.75" outlineLevelCol="1"/>
  <cols>
    <col min="1" max="1" width="37.42578125" style="3" customWidth="1"/>
    <col min="2" max="2" width="10.7109375" style="3" customWidth="1"/>
    <col min="3" max="3" width="11.5703125" style="3" customWidth="1"/>
    <col min="4" max="4" width="25.42578125" style="79" customWidth="1"/>
    <col min="5" max="5" width="12.42578125" style="3" customWidth="1"/>
    <col min="6" max="6" width="14.28515625" style="3" customWidth="1"/>
    <col min="7" max="7" width="15.85546875" style="3" customWidth="1"/>
    <col min="8" max="8" width="12.140625" style="3" customWidth="1"/>
    <col min="9" max="9" width="14.42578125" style="3" customWidth="1"/>
    <col min="10" max="10" width="10" style="3" customWidth="1"/>
    <col min="11" max="11" width="9.140625" style="3" customWidth="1"/>
    <col min="12" max="12" width="8.7109375" style="3" customWidth="1"/>
    <col min="13" max="13" width="12.5703125" style="3" customWidth="1"/>
    <col min="14" max="14" width="13.140625" style="3" customWidth="1"/>
    <col min="15" max="15" width="17" style="3" customWidth="1"/>
    <col min="16" max="16" width="12.140625" style="3" customWidth="1"/>
    <col min="17" max="17" width="11.5703125" style="3" customWidth="1"/>
    <col min="18" max="18" width="15.140625" style="17" customWidth="1"/>
    <col min="19" max="19" width="30.85546875" style="173" customWidth="1"/>
    <col min="20" max="20" width="10.140625" style="17" customWidth="1"/>
    <col min="21" max="21" width="8.85546875" style="17" customWidth="1"/>
    <col min="22" max="22" width="13.28515625" style="17" customWidth="1"/>
    <col min="23" max="23" width="14.42578125" style="17" customWidth="1"/>
    <col min="24" max="24" width="7.85546875" style="17" customWidth="1"/>
    <col min="25" max="25" width="9" style="17" customWidth="1"/>
    <col min="26" max="26" width="7.7109375" style="17" customWidth="1"/>
    <col min="27" max="27" width="10.140625" style="17" hidden="1" customWidth="1" outlineLevel="1"/>
    <col min="28" max="28" width="8.42578125" style="17" hidden="1" customWidth="1" outlineLevel="1"/>
    <col min="29" max="29" width="9.42578125" style="17" hidden="1" customWidth="1" outlineLevel="1"/>
    <col min="30" max="30" width="9.5703125" style="17" hidden="1" customWidth="1" outlineLevel="1"/>
    <col min="31" max="31" width="9.42578125" style="17" hidden="1" customWidth="1" outlineLevel="1"/>
    <col min="32" max="32" width="9.7109375" style="17" hidden="1" customWidth="1" outlineLevel="1"/>
    <col min="33" max="33" width="7.5703125" style="17" hidden="1" customWidth="1" outlineLevel="1"/>
    <col min="34" max="34" width="10.7109375" style="17" customWidth="1" collapsed="1"/>
    <col min="35" max="35" width="11.140625" style="17" customWidth="1"/>
    <col min="36" max="36" width="9.7109375" style="17" hidden="1" customWidth="1" outlineLevel="1"/>
    <col min="37" max="37" width="9.42578125" style="17" hidden="1" customWidth="1" outlineLevel="1"/>
    <col min="38" max="38" width="11.28515625" style="17" hidden="1" customWidth="1" outlineLevel="1"/>
    <col min="39" max="39" width="9.85546875" style="17" customWidth="1" collapsed="1"/>
    <col min="40" max="40" width="6.42578125" style="17" customWidth="1"/>
    <col min="41" max="42" width="11" style="17" customWidth="1"/>
    <col min="43" max="43" width="6.42578125" style="17" hidden="1" customWidth="1" outlineLevel="1"/>
    <col min="44" max="44" width="7" style="17" hidden="1" customWidth="1" outlineLevel="1"/>
    <col min="45" max="45" width="6.42578125" style="17" hidden="1" customWidth="1" outlineLevel="1"/>
    <col min="46" max="46" width="11.5703125" style="17" customWidth="1" collapsed="1"/>
    <col min="47" max="47" width="8.140625" style="17" customWidth="1"/>
    <col min="48" max="48" width="7" style="17" customWidth="1"/>
    <col min="49" max="49" width="6.5703125" style="5" customWidth="1"/>
    <col min="50" max="51" width="9.28515625" style="5" hidden="1" customWidth="1" outlineLevel="1"/>
    <col min="52" max="52" width="13.42578125" style="5" customWidth="1" collapsed="1"/>
    <col min="53" max="53" width="9.28515625" style="5" hidden="1" customWidth="1" outlineLevel="1"/>
    <col min="54" max="54" width="13.5703125" style="5" customWidth="1" collapsed="1"/>
    <col min="55" max="55" width="12.28515625" style="5" hidden="1" customWidth="1"/>
    <col min="56" max="56" width="16.5703125" style="18" customWidth="1"/>
    <col min="57" max="57" width="0" style="16" hidden="1" customWidth="1"/>
    <col min="58" max="58" width="13.5703125" style="16" hidden="1" customWidth="1"/>
    <col min="59" max="59" width="13.85546875" style="16" customWidth="1"/>
    <col min="60" max="65" width="5" style="75" customWidth="1"/>
    <col min="66" max="66" width="9.5703125" style="112" customWidth="1"/>
  </cols>
  <sheetData>
    <row r="1" spans="1:66" ht="21" customHeight="1">
      <c r="B1" s="1058" t="s">
        <v>403</v>
      </c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</row>
    <row r="2" spans="1:66" ht="39" customHeight="1">
      <c r="B2" s="825" t="s">
        <v>384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79"/>
      <c r="BH2"/>
      <c r="BI2"/>
      <c r="BJ2"/>
      <c r="BK2"/>
      <c r="BL2"/>
      <c r="BM2"/>
      <c r="BN2" s="1"/>
    </row>
    <row r="3" spans="1:66" ht="28.5" customHeight="1">
      <c r="A3" s="711" t="s">
        <v>291</v>
      </c>
      <c r="B3" s="711" t="s">
        <v>2</v>
      </c>
      <c r="C3" s="711" t="s">
        <v>285</v>
      </c>
      <c r="D3" s="731" t="s">
        <v>68</v>
      </c>
      <c r="E3" s="722" t="s">
        <v>61</v>
      </c>
      <c r="F3" s="723"/>
      <c r="G3" s="723"/>
      <c r="H3" s="723"/>
      <c r="I3" s="723"/>
      <c r="J3" s="723"/>
      <c r="K3" s="723"/>
      <c r="L3" s="723"/>
      <c r="M3" s="723"/>
      <c r="N3" s="723"/>
      <c r="O3" s="680" t="s">
        <v>55</v>
      </c>
      <c r="P3" s="680" t="s">
        <v>56</v>
      </c>
      <c r="Q3" s="712"/>
      <c r="R3" s="892" t="s">
        <v>54</v>
      </c>
      <c r="S3" s="731" t="s">
        <v>68</v>
      </c>
      <c r="T3" s="911" t="s">
        <v>319</v>
      </c>
      <c r="U3" s="911"/>
      <c r="V3" s="911"/>
      <c r="W3" s="912"/>
      <c r="X3" s="912"/>
      <c r="Y3" s="912"/>
      <c r="Z3" s="912"/>
      <c r="AA3" s="912"/>
      <c r="AB3" s="912"/>
      <c r="AC3" s="912"/>
      <c r="AD3" s="912"/>
      <c r="AE3" s="912"/>
      <c r="AF3" s="912"/>
      <c r="AG3" s="912"/>
      <c r="AH3" s="912"/>
      <c r="AI3" s="912"/>
      <c r="AJ3" s="912"/>
      <c r="AK3" s="912"/>
      <c r="AL3" s="912"/>
      <c r="AM3" s="912"/>
      <c r="AN3" s="912"/>
      <c r="AO3" s="912"/>
      <c r="AP3" s="912"/>
      <c r="AQ3" s="912"/>
      <c r="AR3" s="912"/>
      <c r="AS3" s="912"/>
      <c r="AT3" s="912"/>
      <c r="AU3" s="912"/>
      <c r="AV3" s="912"/>
      <c r="AW3" s="912"/>
      <c r="AX3" s="912"/>
      <c r="AY3" s="912"/>
      <c r="AZ3" s="912"/>
      <c r="BA3" s="912"/>
      <c r="BB3" s="912"/>
      <c r="BC3" s="912"/>
      <c r="BD3" s="912"/>
      <c r="BE3" s="912"/>
      <c r="BF3" s="912"/>
      <c r="BG3" s="912"/>
      <c r="BH3" s="712"/>
      <c r="BI3" s="712"/>
      <c r="BJ3" s="712"/>
      <c r="BK3" s="712"/>
      <c r="BL3" s="712"/>
      <c r="BM3" s="712"/>
      <c r="BN3" s="712"/>
    </row>
    <row r="4" spans="1:66" s="1" customFormat="1" ht="36" customHeight="1">
      <c r="A4" s="712"/>
      <c r="B4" s="712"/>
      <c r="C4" s="712"/>
      <c r="D4" s="895"/>
      <c r="E4" s="680" t="s">
        <v>59</v>
      </c>
      <c r="F4" s="888"/>
      <c r="G4" s="888"/>
      <c r="H4" s="888"/>
      <c r="I4" s="888"/>
      <c r="J4" s="888"/>
      <c r="K4" s="888"/>
      <c r="L4" s="888"/>
      <c r="M4" s="888"/>
      <c r="N4" s="888"/>
      <c r="O4" s="712"/>
      <c r="P4" s="712"/>
      <c r="Q4" s="712"/>
      <c r="R4" s="914"/>
      <c r="S4" s="895"/>
      <c r="T4" s="676" t="s">
        <v>62</v>
      </c>
      <c r="U4" s="676"/>
      <c r="V4" s="676"/>
      <c r="W4" s="896"/>
      <c r="X4" s="688" t="s">
        <v>289</v>
      </c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 t="s">
        <v>19</v>
      </c>
      <c r="AP4" s="688"/>
      <c r="AQ4" s="688"/>
      <c r="AR4" s="688"/>
      <c r="AS4" s="688"/>
      <c r="AT4" s="688"/>
      <c r="AU4" s="688"/>
      <c r="AV4" s="676" t="s">
        <v>19</v>
      </c>
      <c r="AW4" s="676"/>
      <c r="AX4" s="676"/>
      <c r="AY4" s="676"/>
      <c r="AZ4" s="676"/>
      <c r="BA4" s="676" t="s">
        <v>20</v>
      </c>
      <c r="BB4" s="676" t="s">
        <v>275</v>
      </c>
      <c r="BC4" s="676" t="s">
        <v>21</v>
      </c>
      <c r="BD4" s="676" t="s">
        <v>22</v>
      </c>
      <c r="BE4" s="704" t="s">
        <v>23</v>
      </c>
      <c r="BF4" s="704" t="s">
        <v>24</v>
      </c>
      <c r="BG4" s="898" t="s">
        <v>318</v>
      </c>
      <c r="BH4" s="815" t="s">
        <v>129</v>
      </c>
      <c r="BI4" s="815"/>
      <c r="BJ4" s="815"/>
      <c r="BK4" s="815"/>
      <c r="BL4" s="815"/>
      <c r="BM4" s="815"/>
      <c r="BN4" s="815"/>
    </row>
    <row r="5" spans="1:66" s="2" customFormat="1" ht="126.75" customHeight="1">
      <c r="A5" s="712"/>
      <c r="B5" s="712"/>
      <c r="C5" s="712"/>
      <c r="D5" s="895"/>
      <c r="E5" s="680" t="s">
        <v>53</v>
      </c>
      <c r="F5" s="888"/>
      <c r="G5" s="888"/>
      <c r="H5" s="680" t="s">
        <v>27</v>
      </c>
      <c r="I5" s="680" t="s">
        <v>10</v>
      </c>
      <c r="J5" s="680" t="s">
        <v>5</v>
      </c>
      <c r="K5" s="680" t="s">
        <v>51</v>
      </c>
      <c r="L5" s="680" t="s">
        <v>20</v>
      </c>
      <c r="M5" s="680" t="s">
        <v>13</v>
      </c>
      <c r="N5" s="680" t="s">
        <v>21</v>
      </c>
      <c r="O5" s="712"/>
      <c r="P5" s="680" t="s">
        <v>16</v>
      </c>
      <c r="Q5" s="680" t="s">
        <v>52</v>
      </c>
      <c r="R5" s="914"/>
      <c r="S5" s="895"/>
      <c r="T5" s="676" t="s">
        <v>66</v>
      </c>
      <c r="U5" s="896"/>
      <c r="V5" s="896"/>
      <c r="W5" s="896"/>
      <c r="X5" s="676" t="s">
        <v>63</v>
      </c>
      <c r="Y5" s="676"/>
      <c r="Z5" s="676"/>
      <c r="AA5" s="692">
        <v>340</v>
      </c>
      <c r="AB5" s="692"/>
      <c r="AC5" s="692"/>
      <c r="AD5" s="692"/>
      <c r="AE5" s="692"/>
      <c r="AF5" s="692"/>
      <c r="AG5" s="692"/>
      <c r="AH5" s="692"/>
      <c r="AI5" s="805"/>
      <c r="AJ5" s="676" t="s">
        <v>4</v>
      </c>
      <c r="AK5" s="676"/>
      <c r="AL5" s="676"/>
      <c r="AM5" s="676"/>
      <c r="AN5" s="676"/>
      <c r="AO5" s="694" t="s">
        <v>5</v>
      </c>
      <c r="AP5" s="676"/>
      <c r="AQ5" s="676"/>
      <c r="AR5" s="676"/>
      <c r="AS5" s="676"/>
      <c r="AT5" s="676"/>
      <c r="AU5" s="676"/>
      <c r="AV5" s="1053" t="s">
        <v>6</v>
      </c>
      <c r="AW5" s="1054"/>
      <c r="AX5" s="1055"/>
      <c r="AY5" s="1056"/>
      <c r="AZ5" s="692">
        <v>290</v>
      </c>
      <c r="BA5" s="676"/>
      <c r="BB5" s="676"/>
      <c r="BC5" s="676"/>
      <c r="BD5" s="676"/>
      <c r="BE5" s="704"/>
      <c r="BF5" s="704"/>
      <c r="BG5" s="898"/>
      <c r="BH5" s="1057">
        <v>2110</v>
      </c>
      <c r="BI5" s="1057">
        <v>2130</v>
      </c>
      <c r="BJ5" s="1057">
        <v>2230</v>
      </c>
      <c r="BK5" s="1057">
        <v>7500</v>
      </c>
      <c r="BL5" s="1057">
        <v>7520</v>
      </c>
      <c r="BM5" s="1057">
        <v>7660</v>
      </c>
      <c r="BN5" s="1057" t="s">
        <v>130</v>
      </c>
    </row>
    <row r="6" spans="1:66" s="2" customFormat="1" ht="30" customHeight="1">
      <c r="A6" s="712"/>
      <c r="B6" s="712"/>
      <c r="C6" s="712"/>
      <c r="D6" s="895"/>
      <c r="E6" s="680" t="s">
        <v>26</v>
      </c>
      <c r="F6" s="680"/>
      <c r="G6" s="680"/>
      <c r="H6" s="888"/>
      <c r="I6" s="888"/>
      <c r="J6" s="888"/>
      <c r="K6" s="888"/>
      <c r="L6" s="888"/>
      <c r="M6" s="888"/>
      <c r="N6" s="888"/>
      <c r="O6" s="712"/>
      <c r="P6" s="888"/>
      <c r="Q6" s="888"/>
      <c r="R6" s="914"/>
      <c r="S6" s="895"/>
      <c r="T6" s="676" t="s">
        <v>3</v>
      </c>
      <c r="U6" s="676" t="s">
        <v>64</v>
      </c>
      <c r="V6" s="676" t="s">
        <v>12</v>
      </c>
      <c r="W6" s="676" t="s">
        <v>65</v>
      </c>
      <c r="X6" s="676" t="s">
        <v>16</v>
      </c>
      <c r="Y6" s="676"/>
      <c r="Z6" s="676"/>
      <c r="AA6" s="676" t="s">
        <v>27</v>
      </c>
      <c r="AB6" s="676"/>
      <c r="AC6" s="676"/>
      <c r="AD6" s="676"/>
      <c r="AE6" s="676"/>
      <c r="AF6" s="676"/>
      <c r="AG6" s="676"/>
      <c r="AH6" s="676"/>
      <c r="AI6" s="693"/>
      <c r="AJ6" s="676" t="s">
        <v>10</v>
      </c>
      <c r="AK6" s="676"/>
      <c r="AL6" s="676"/>
      <c r="AM6" s="676"/>
      <c r="AN6" s="676"/>
      <c r="AO6" s="807">
        <v>225</v>
      </c>
      <c r="AP6" s="692"/>
      <c r="AQ6" s="692"/>
      <c r="AR6" s="692"/>
      <c r="AS6" s="692"/>
      <c r="AT6" s="47">
        <v>290</v>
      </c>
      <c r="AU6" s="47">
        <v>224</v>
      </c>
      <c r="AV6" s="20" t="s">
        <v>4</v>
      </c>
      <c r="AW6" s="20" t="s">
        <v>4</v>
      </c>
      <c r="AX6" s="676" t="s">
        <v>4</v>
      </c>
      <c r="AY6" s="676"/>
      <c r="AZ6" s="692"/>
      <c r="BA6" s="676"/>
      <c r="BB6" s="676"/>
      <c r="BC6" s="676"/>
      <c r="BD6" s="676"/>
      <c r="BE6" s="704"/>
      <c r="BF6" s="704"/>
      <c r="BG6" s="898"/>
      <c r="BH6" s="1057"/>
      <c r="BI6" s="1057"/>
      <c r="BJ6" s="1057"/>
      <c r="BK6" s="1057"/>
      <c r="BL6" s="1057"/>
      <c r="BM6" s="1057"/>
      <c r="BN6" s="1057"/>
    </row>
    <row r="7" spans="1:66" s="2" customFormat="1" ht="38.25" customHeight="1">
      <c r="A7" s="712"/>
      <c r="B7" s="712"/>
      <c r="C7" s="712"/>
      <c r="D7" s="895"/>
      <c r="E7" s="680" t="s">
        <v>3</v>
      </c>
      <c r="F7" s="680" t="s">
        <v>12</v>
      </c>
      <c r="G7" s="680" t="s">
        <v>11</v>
      </c>
      <c r="H7" s="888"/>
      <c r="I7" s="888"/>
      <c r="J7" s="888"/>
      <c r="K7" s="888"/>
      <c r="L7" s="888"/>
      <c r="M7" s="888"/>
      <c r="N7" s="888"/>
      <c r="O7" s="712"/>
      <c r="P7" s="888"/>
      <c r="Q7" s="888"/>
      <c r="R7" s="914"/>
      <c r="S7" s="895"/>
      <c r="T7" s="896"/>
      <c r="U7" s="896"/>
      <c r="V7" s="896"/>
      <c r="W7" s="89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93"/>
      <c r="AJ7" s="676"/>
      <c r="AK7" s="676"/>
      <c r="AL7" s="676"/>
      <c r="AM7" s="676"/>
      <c r="AN7" s="676"/>
      <c r="AO7" s="694" t="s">
        <v>127</v>
      </c>
      <c r="AP7" s="676" t="s">
        <v>137</v>
      </c>
      <c r="AQ7" s="676" t="s">
        <v>138</v>
      </c>
      <c r="AR7" s="676"/>
      <c r="AS7" s="676"/>
      <c r="AT7" s="676" t="s">
        <v>31</v>
      </c>
      <c r="AU7" s="676" t="s">
        <v>124</v>
      </c>
      <c r="AV7" s="676" t="s">
        <v>32</v>
      </c>
      <c r="AW7" s="676" t="s">
        <v>33</v>
      </c>
      <c r="AX7" s="676" t="s">
        <v>34</v>
      </c>
      <c r="AY7" s="676"/>
      <c r="AZ7" s="676" t="s">
        <v>126</v>
      </c>
      <c r="BA7" s="676"/>
      <c r="BB7" s="676"/>
      <c r="BC7" s="676"/>
      <c r="BD7" s="676"/>
      <c r="BE7" s="704"/>
      <c r="BF7" s="704"/>
      <c r="BG7" s="898"/>
      <c r="BH7" s="1057"/>
      <c r="BI7" s="1057"/>
      <c r="BJ7" s="1057"/>
      <c r="BK7" s="1057"/>
      <c r="BL7" s="1057"/>
      <c r="BM7" s="1057"/>
      <c r="BN7" s="1057"/>
    </row>
    <row r="8" spans="1:66" s="2" customFormat="1" ht="74.25" customHeight="1">
      <c r="A8" s="712"/>
      <c r="B8" s="712"/>
      <c r="C8" s="712"/>
      <c r="D8" s="895"/>
      <c r="E8" s="680"/>
      <c r="F8" s="680"/>
      <c r="G8" s="680"/>
      <c r="H8" s="888"/>
      <c r="I8" s="888"/>
      <c r="J8" s="888"/>
      <c r="K8" s="888"/>
      <c r="L8" s="888"/>
      <c r="M8" s="888"/>
      <c r="N8" s="888"/>
      <c r="O8" s="712"/>
      <c r="P8" s="888"/>
      <c r="Q8" s="888"/>
      <c r="R8" s="914"/>
      <c r="S8" s="895"/>
      <c r="T8" s="896"/>
      <c r="U8" s="896"/>
      <c r="V8" s="896"/>
      <c r="W8" s="896"/>
      <c r="X8" s="20" t="s">
        <v>9</v>
      </c>
      <c r="Y8" s="20" t="s">
        <v>17</v>
      </c>
      <c r="Z8" s="20" t="s">
        <v>18</v>
      </c>
      <c r="AA8" s="20" t="s">
        <v>36</v>
      </c>
      <c r="AB8" s="20" t="s">
        <v>37</v>
      </c>
      <c r="AC8" s="20" t="s">
        <v>38</v>
      </c>
      <c r="AD8" s="20" t="s">
        <v>39</v>
      </c>
      <c r="AE8" s="20" t="s">
        <v>40</v>
      </c>
      <c r="AF8" s="20" t="s">
        <v>14</v>
      </c>
      <c r="AG8" s="20" t="s">
        <v>41</v>
      </c>
      <c r="AH8" s="20" t="s">
        <v>15</v>
      </c>
      <c r="AI8" s="401" t="s">
        <v>42</v>
      </c>
      <c r="AJ8" s="20" t="s">
        <v>43</v>
      </c>
      <c r="AK8" s="20" t="s">
        <v>44</v>
      </c>
      <c r="AL8" s="20" t="s">
        <v>45</v>
      </c>
      <c r="AM8" s="20" t="s">
        <v>46</v>
      </c>
      <c r="AN8" s="20" t="s">
        <v>47</v>
      </c>
      <c r="AO8" s="694"/>
      <c r="AP8" s="676"/>
      <c r="AQ8" s="20" t="s">
        <v>48</v>
      </c>
      <c r="AR8" s="20" t="s">
        <v>49</v>
      </c>
      <c r="AS8" s="20" t="s">
        <v>50</v>
      </c>
      <c r="AT8" s="676"/>
      <c r="AU8" s="676"/>
      <c r="AV8" s="676"/>
      <c r="AW8" s="676"/>
      <c r="AX8" s="676"/>
      <c r="AY8" s="676"/>
      <c r="AZ8" s="676"/>
      <c r="BA8" s="676"/>
      <c r="BB8" s="676"/>
      <c r="BC8" s="676"/>
      <c r="BD8" s="676"/>
      <c r="BE8" s="704"/>
      <c r="BF8" s="704"/>
      <c r="BG8" s="898"/>
      <c r="BH8" s="1057"/>
      <c r="BI8" s="1057"/>
      <c r="BJ8" s="1057"/>
      <c r="BK8" s="1057"/>
      <c r="BL8" s="1057"/>
      <c r="BM8" s="1057"/>
      <c r="BN8" s="1057"/>
    </row>
    <row r="9" spans="1:66" ht="35.25" customHeight="1">
      <c r="A9" s="1059" t="s">
        <v>317</v>
      </c>
      <c r="B9" s="1060"/>
      <c r="C9" s="1060"/>
      <c r="D9" s="1060"/>
      <c r="E9" s="1060"/>
      <c r="F9" s="1060"/>
      <c r="G9" s="1060"/>
      <c r="H9" s="1060"/>
      <c r="I9" s="1060"/>
      <c r="J9" s="1060"/>
      <c r="K9" s="1060"/>
      <c r="L9" s="1060"/>
      <c r="M9" s="1060"/>
      <c r="N9" s="1060"/>
      <c r="O9" s="1060"/>
      <c r="P9" s="1060"/>
      <c r="Q9" s="1060"/>
      <c r="R9" s="1060"/>
      <c r="AJ9" s="408"/>
      <c r="AK9" s="408"/>
      <c r="AL9" s="408"/>
      <c r="AM9" s="408"/>
      <c r="AN9" s="408"/>
      <c r="BH9" s="260"/>
      <c r="BI9" s="260"/>
      <c r="BJ9" s="260"/>
      <c r="BK9" s="260"/>
      <c r="BL9" s="260"/>
      <c r="BM9" s="260"/>
      <c r="BN9" s="261"/>
    </row>
    <row r="10" spans="1:66" ht="78" customHeight="1">
      <c r="A10" s="1020" t="s">
        <v>237</v>
      </c>
      <c r="B10" s="51" t="s">
        <v>240</v>
      </c>
      <c r="C10" s="64">
        <v>1</v>
      </c>
      <c r="D10" s="51" t="s">
        <v>238</v>
      </c>
      <c r="E10" s="53">
        <f>ROUND((T10+U10)/C10,3)</f>
        <v>0</v>
      </c>
      <c r="F10" s="53">
        <f>ROUND((V10+W10)/C10,2)</f>
        <v>0</v>
      </c>
      <c r="G10" s="53">
        <f>E10+F10</f>
        <v>0</v>
      </c>
      <c r="H10" s="53">
        <f>ROUND((AI10-AH10)/C10,3)</f>
        <v>0</v>
      </c>
      <c r="I10" s="53">
        <f>ROUND((AJ10+AK10+AL10+AM10+AN10)/C10,2)</f>
        <v>0</v>
      </c>
      <c r="J10" s="53">
        <f>ROUND((AO10+AP10+AQ10+AR10+AS10)/C10,2)</f>
        <v>0</v>
      </c>
      <c r="K10" s="53">
        <f>ROUND((AV10+AW10)/C10,2)</f>
        <v>0</v>
      </c>
      <c r="L10" s="54">
        <f>ROUND(BA10/C10,2)</f>
        <v>0</v>
      </c>
      <c r="M10" s="153">
        <f>ROUND(BB10/C10,2)</f>
        <v>166387</v>
      </c>
      <c r="N10" s="153">
        <f>ROUND(AI10/C10,0)</f>
        <v>116906</v>
      </c>
      <c r="O10" s="58">
        <f>N10+M10+L10+K10+J10+I10+H10+G10</f>
        <v>283293</v>
      </c>
      <c r="P10" s="58">
        <f>ROUND((X10+Y10+Z10)/C10,2)</f>
        <v>0</v>
      </c>
      <c r="Q10" s="58">
        <f>ROUND(AT10/C10,2)</f>
        <v>0</v>
      </c>
      <c r="R10" s="170">
        <f>O10+P10+Q10</f>
        <v>283293</v>
      </c>
      <c r="S10" s="51" t="s">
        <v>238</v>
      </c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>
        <v>116906.25</v>
      </c>
      <c r="AI10" s="409">
        <f>AH10</f>
        <v>116906.25</v>
      </c>
      <c r="AJ10" s="58"/>
      <c r="AK10" s="58"/>
      <c r="AL10" s="58"/>
      <c r="AM10" s="58"/>
      <c r="AN10" s="161"/>
      <c r="AO10" s="410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>
        <v>166387</v>
      </c>
      <c r="BC10" s="58"/>
      <c r="BD10" s="58">
        <f>T10+U10+V10+W10+X10+Y10+Z10+AI10+AJ10+AK10+AL10+AM10+AO10+AP10+AQ10+AR10+AS10+AT10+AU10+AV10+AW10+AX10+AY10+AZ10+BA10+BB10+BC10+AN10</f>
        <v>283293.25</v>
      </c>
      <c r="BE10" s="58"/>
      <c r="BF10" s="58"/>
      <c r="BG10" s="67">
        <f>ROUND(BD10/C10,2)</f>
        <v>283293.25</v>
      </c>
      <c r="BH10" s="262">
        <f>T10+V10</f>
        <v>0</v>
      </c>
      <c r="BI10" s="262">
        <f>U10+W10</f>
        <v>0</v>
      </c>
      <c r="BJ10" s="262">
        <f>X10+Y10+Z10</f>
        <v>0</v>
      </c>
      <c r="BK10" s="262">
        <f>BB10</f>
        <v>166387</v>
      </c>
      <c r="BL10" s="262">
        <f>BA10</f>
        <v>0</v>
      </c>
      <c r="BM10" s="262">
        <f>BC10+AI10+AJ10+AK10+AL10+AM10+AN10+AO10+AP10+AQ10+AR10+AS10+AT10+AU10+AV10+AW10+AX10+AY10+AZ10</f>
        <v>116906.25</v>
      </c>
      <c r="BN10" s="263">
        <f>SUM(BH10:BM10)</f>
        <v>283293.25</v>
      </c>
    </row>
    <row r="11" spans="1:66" ht="102" customHeight="1">
      <c r="A11" s="1033"/>
      <c r="B11" s="142" t="s">
        <v>240</v>
      </c>
      <c r="C11" s="142">
        <v>1</v>
      </c>
      <c r="D11" s="93" t="s">
        <v>239</v>
      </c>
      <c r="E11" s="58">
        <f>ROUND((T11+U11)/C11,3)</f>
        <v>0</v>
      </c>
      <c r="F11" s="58">
        <f>ROUND((V11+W11)/C11,2)</f>
        <v>11682384.9</v>
      </c>
      <c r="G11" s="58">
        <f>E11+F11</f>
        <v>11682384.9</v>
      </c>
      <c r="H11" s="58">
        <f>ROUND(AI11/C11,3)</f>
        <v>0</v>
      </c>
      <c r="I11" s="58">
        <f>ROUND((AJ11+AK11+AL11+AM11+AN11+AZ11)/C11,2)</f>
        <v>7966513.2599999998</v>
      </c>
      <c r="J11" s="58">
        <f>ROUND((AO11+AP11+AQ11+AR11+AS11)/C11,2)</f>
        <v>0</v>
      </c>
      <c r="K11" s="58">
        <f>ROUND((AV11+AW11)/C11,2)</f>
        <v>0</v>
      </c>
      <c r="L11" s="153">
        <f>ROUND(BA11/C11,2)</f>
        <v>0</v>
      </c>
      <c r="M11" s="153">
        <f>ROUND(BB11/C11,2)</f>
        <v>0</v>
      </c>
      <c r="N11" s="153">
        <f>ROUND(BC11/C11,2)</f>
        <v>0</v>
      </c>
      <c r="O11" s="58">
        <f>N11+M11+L11+K11+J11+I11+H11+G11</f>
        <v>19648898.16</v>
      </c>
      <c r="P11" s="58">
        <f>ROUND((X11+Y11+Z11)/C11,2)</f>
        <v>0</v>
      </c>
      <c r="Q11" s="58">
        <f>ROUND(AT11/C11,2)</f>
        <v>0</v>
      </c>
      <c r="R11" s="170">
        <f>O11+P11+Q11</f>
        <v>19648898.16</v>
      </c>
      <c r="S11" s="93" t="s">
        <v>239</v>
      </c>
      <c r="T11" s="58"/>
      <c r="U11" s="58"/>
      <c r="V11" s="58">
        <v>9006857.5399999991</v>
      </c>
      <c r="W11" s="58">
        <v>2675527.36</v>
      </c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406"/>
      <c r="AJ11" s="56"/>
      <c r="AK11" s="56"/>
      <c r="AL11" s="56"/>
      <c r="AM11" s="58">
        <f>68371.86+800</f>
        <v>69171.86</v>
      </c>
      <c r="AN11" s="56"/>
      <c r="AO11" s="407"/>
      <c r="AP11" s="56"/>
      <c r="AQ11" s="56"/>
      <c r="AR11" s="56"/>
      <c r="AS11" s="56"/>
      <c r="AT11" s="65"/>
      <c r="AU11" s="56"/>
      <c r="AV11" s="56"/>
      <c r="AW11" s="57"/>
      <c r="AX11" s="57"/>
      <c r="AY11" s="57"/>
      <c r="AZ11" s="65">
        <f>7750528.04+44171.24+5750.32+1165.59+95726.21</f>
        <v>7897341.4000000004</v>
      </c>
      <c r="BA11" s="57"/>
      <c r="BB11" s="57"/>
      <c r="BC11" s="57"/>
      <c r="BD11" s="58">
        <f>T11+U11+V11+W11+X11+Y11+Z11+AI11+AJ11+AK11+AL11+AM11+AO11+AP11+AQ11+AR11+AS11+AT11+AU11+AV11+AW11+AX11+AY11+AZ11+BA11+BB11+BC11+AN11</f>
        <v>19648898.159999996</v>
      </c>
      <c r="BE11" s="143"/>
      <c r="BF11" s="143"/>
      <c r="BG11" s="24">
        <f>ROUND(BD11/C11,2)</f>
        <v>19648898.16</v>
      </c>
      <c r="BH11" s="262">
        <f>T11+V11</f>
        <v>9006857.5399999991</v>
      </c>
      <c r="BI11" s="262">
        <f>U11+W11</f>
        <v>2675527.36</v>
      </c>
      <c r="BJ11" s="262">
        <f>X11+Y11+Z11</f>
        <v>0</v>
      </c>
      <c r="BK11" s="262">
        <f>BB11</f>
        <v>0</v>
      </c>
      <c r="BL11" s="262">
        <f>BA11</f>
        <v>0</v>
      </c>
      <c r="BM11" s="262">
        <f>BC11+AI11+AJ11+AK11+AL11+AM11+AN11+AO11+AP11+AQ11+AR11+AS11+AT11+AU11+AV11+AW11+AX11+AY11+AZ11</f>
        <v>7966513.2600000007</v>
      </c>
      <c r="BN11" s="263">
        <f>SUM(BH11:BM11)</f>
        <v>19648898.16</v>
      </c>
    </row>
  </sheetData>
  <mergeCells count="74">
    <mergeCell ref="T6:T8"/>
    <mergeCell ref="U6:U8"/>
    <mergeCell ref="W6:W8"/>
    <mergeCell ref="AJ5:AN5"/>
    <mergeCell ref="T5:W5"/>
    <mergeCell ref="AA6:AI7"/>
    <mergeCell ref="X5:Z5"/>
    <mergeCell ref="AA5:AI5"/>
    <mergeCell ref="X4:AN4"/>
    <mergeCell ref="V6:V8"/>
    <mergeCell ref="X6:Z7"/>
    <mergeCell ref="AJ6:AN7"/>
    <mergeCell ref="BM5:BM8"/>
    <mergeCell ref="BI5:BI8"/>
    <mergeCell ref="BH5:BH8"/>
    <mergeCell ref="BJ5:BJ8"/>
    <mergeCell ref="BN5:BN8"/>
    <mergeCell ref="B1:R1"/>
    <mergeCell ref="A9:R9"/>
    <mergeCell ref="B2:R2"/>
    <mergeCell ref="P5:P8"/>
    <mergeCell ref="M5:M8"/>
    <mergeCell ref="L5:L8"/>
    <mergeCell ref="E4:N4"/>
    <mergeCell ref="E5:G5"/>
    <mergeCell ref="H5:H8"/>
    <mergeCell ref="P3:Q4"/>
    <mergeCell ref="F7:F8"/>
    <mergeCell ref="G7:G8"/>
    <mergeCell ref="BH3:BN3"/>
    <mergeCell ref="AO5:AU5"/>
    <mergeCell ref="AV5:AY5"/>
    <mergeCell ref="BE4:BE8"/>
    <mergeCell ref="BH4:BN4"/>
    <mergeCell ref="AO6:AS6"/>
    <mergeCell ref="AQ7:AS7"/>
    <mergeCell ref="BB4:BB8"/>
    <mergeCell ref="BF4:BF8"/>
    <mergeCell ref="BC4:BC8"/>
    <mergeCell ref="BL5:BL8"/>
    <mergeCell ref="BK5:BK8"/>
    <mergeCell ref="BG4:BG8"/>
    <mergeCell ref="AO4:AU4"/>
    <mergeCell ref="AV4:AZ4"/>
    <mergeCell ref="BD4:BD8"/>
    <mergeCell ref="S3:S8"/>
    <mergeCell ref="T3:BG3"/>
    <mergeCell ref="AX6:AY6"/>
    <mergeCell ref="Q5:Q8"/>
    <mergeCell ref="N5:N8"/>
    <mergeCell ref="BA4:BA8"/>
    <mergeCell ref="AX7:AY8"/>
    <mergeCell ref="AZ7:AZ8"/>
    <mergeCell ref="AZ5:AZ6"/>
    <mergeCell ref="AP7:AP8"/>
    <mergeCell ref="AO7:AO8"/>
    <mergeCell ref="AV7:AV8"/>
    <mergeCell ref="AU7:AU8"/>
    <mergeCell ref="AW7:AW8"/>
    <mergeCell ref="AT7:AT8"/>
    <mergeCell ref="T4:W4"/>
    <mergeCell ref="A10:A11"/>
    <mergeCell ref="R3:R8"/>
    <mergeCell ref="E6:G6"/>
    <mergeCell ref="D3:D8"/>
    <mergeCell ref="E3:N3"/>
    <mergeCell ref="J5:J8"/>
    <mergeCell ref="E7:E8"/>
    <mergeCell ref="O3:O8"/>
    <mergeCell ref="K5:K8"/>
    <mergeCell ref="A3:A8"/>
    <mergeCell ref="B3:B8"/>
    <mergeCell ref="C3:C8"/>
    <mergeCell ref="I5:I8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4">
    <tabColor rgb="FFFF0000"/>
  </sheetPr>
  <dimension ref="A1:BO11"/>
  <sheetViews>
    <sheetView topLeftCell="K1" zoomScale="80" zoomScaleNormal="80" workbookViewId="0">
      <pane ySplit="9" topLeftCell="A10" activePane="bottomLeft" state="frozen"/>
      <selection pane="bottomLeft" activeCell="T10" sqref="T10"/>
    </sheetView>
  </sheetViews>
  <sheetFormatPr defaultRowHeight="12.75" outlineLevelCol="1"/>
  <cols>
    <col min="1" max="1" width="35.7109375" style="3" customWidth="1"/>
    <col min="2" max="2" width="14.28515625" style="3" customWidth="1"/>
    <col min="3" max="3" width="7.85546875" style="3" customWidth="1"/>
    <col min="4" max="4" width="21" style="3" customWidth="1"/>
    <col min="5" max="5" width="10.28515625" style="3" customWidth="1"/>
    <col min="6" max="6" width="8.140625" style="3" customWidth="1"/>
    <col min="7" max="7" width="10.5703125" style="3" customWidth="1"/>
    <col min="8" max="8" width="8.85546875" style="3" customWidth="1"/>
    <col min="9" max="11" width="9.42578125" style="3" customWidth="1"/>
    <col min="12" max="14" width="9" style="3" customWidth="1"/>
    <col min="15" max="17" width="10.85546875" style="3" customWidth="1"/>
    <col min="18" max="18" width="10.7109375" style="3" customWidth="1"/>
    <col min="19" max="19" width="22.28515625" style="3" customWidth="1"/>
    <col min="20" max="20" width="11.28515625" style="17" customWidth="1"/>
    <col min="21" max="21" width="11.85546875" style="17" customWidth="1"/>
    <col min="22" max="22" width="8.28515625" style="17" customWidth="1"/>
    <col min="23" max="24" width="8.42578125" style="17" customWidth="1"/>
    <col min="25" max="25" width="8" style="17" hidden="1" customWidth="1"/>
    <col min="26" max="26" width="7.85546875" style="17" customWidth="1"/>
    <col min="27" max="27" width="8.140625" style="17" customWidth="1"/>
    <col min="28" max="28" width="6.85546875" style="17" customWidth="1"/>
    <col min="29" max="29" width="10.140625" style="17" hidden="1" customWidth="1"/>
    <col min="30" max="30" width="8.42578125" style="17" hidden="1" customWidth="1"/>
    <col min="31" max="31" width="8" style="17" customWidth="1"/>
    <col min="32" max="32" width="10.140625" style="17" hidden="1" customWidth="1"/>
    <col min="33" max="33" width="7.28515625" style="17" customWidth="1"/>
    <col min="34" max="34" width="6.7109375" style="17" customWidth="1"/>
    <col min="35" max="35" width="9.85546875" style="17" hidden="1" customWidth="1"/>
    <col min="36" max="36" width="10.7109375" style="17" customWidth="1"/>
    <col min="37" max="37" width="7.7109375" style="17" customWidth="1"/>
    <col min="38" max="38" width="9.5703125" style="17" hidden="1" customWidth="1"/>
    <col min="39" max="39" width="11.28515625" style="17" hidden="1" customWidth="1"/>
    <col min="40" max="40" width="10" style="17" hidden="1" customWidth="1"/>
    <col min="41" max="41" width="7.85546875" style="17" customWidth="1"/>
    <col min="42" max="42" width="23" style="3" customWidth="1"/>
    <col min="43" max="43" width="13.140625" style="17" hidden="1" customWidth="1" outlineLevel="1"/>
    <col min="44" max="44" width="13.7109375" style="17" hidden="1" customWidth="1" outlineLevel="1"/>
    <col min="45" max="45" width="9" style="17" hidden="1" customWidth="1" outlineLevel="1"/>
    <col min="46" max="47" width="11.140625" style="17" hidden="1" customWidth="1" outlineLevel="1"/>
    <col min="48" max="48" width="14.85546875" style="17" hidden="1" customWidth="1" outlineLevel="1"/>
    <col min="49" max="49" width="11" style="17" hidden="1" customWidth="1" outlineLevel="1"/>
    <col min="50" max="50" width="11.28515625" style="17" hidden="1" customWidth="1" outlineLevel="1"/>
    <col min="51" max="51" width="9.28515625" style="5" hidden="1" customWidth="1" outlineLevel="1"/>
    <col min="52" max="52" width="8.7109375" style="5" hidden="1" customWidth="1" outlineLevel="1"/>
    <col min="53" max="53" width="7.85546875" style="5" hidden="1" customWidth="1" outlineLevel="1"/>
    <col min="54" max="54" width="9.28515625" style="5" hidden="1" customWidth="1" outlineLevel="1"/>
    <col min="55" max="55" width="11.140625" style="5" hidden="1" customWidth="1" outlineLevel="1"/>
    <col min="56" max="57" width="10.140625" style="5" hidden="1" customWidth="1" outlineLevel="1"/>
    <col min="58" max="58" width="10" style="18" customWidth="1" collapsed="1"/>
    <col min="59" max="59" width="9.140625" style="16" hidden="1" customWidth="1" outlineLevel="1"/>
    <col min="60" max="60" width="13.5703125" style="16" hidden="1" customWidth="1" outlineLevel="1"/>
    <col min="61" max="61" width="11" style="16" customWidth="1" collapsed="1"/>
    <col min="62" max="62" width="12.7109375" customWidth="1"/>
    <col min="63" max="63" width="12.42578125" customWidth="1"/>
    <col min="64" max="64" width="9.140625" customWidth="1"/>
    <col min="65" max="65" width="10.85546875" bestFit="1" customWidth="1"/>
    <col min="66" max="66" width="9.140625" customWidth="1"/>
    <col min="67" max="67" width="12.28515625" customWidth="1"/>
  </cols>
  <sheetData>
    <row r="1" spans="1:67" ht="24" customHeight="1">
      <c r="A1" s="1061" t="s">
        <v>402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AT1" s="769"/>
      <c r="AU1" s="769"/>
      <c r="AV1" s="769"/>
      <c r="AW1" s="769"/>
      <c r="AX1" s="719"/>
      <c r="AY1" s="719"/>
      <c r="AZ1" s="719"/>
      <c r="BA1" s="719"/>
    </row>
    <row r="2" spans="1:67" ht="34.5" customHeight="1">
      <c r="A2" s="1042" t="s">
        <v>312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6"/>
      <c r="AQ2" s="19"/>
      <c r="AR2" s="19"/>
      <c r="AS2" s="19"/>
      <c r="AT2" s="19"/>
      <c r="AU2" s="19"/>
      <c r="AV2" s="19"/>
      <c r="AW2" s="19"/>
      <c r="AX2" s="19"/>
    </row>
    <row r="3" spans="1:67" ht="28.5" customHeight="1">
      <c r="A3" s="713" t="s">
        <v>291</v>
      </c>
      <c r="B3" s="713" t="s">
        <v>2</v>
      </c>
      <c r="C3" s="713" t="s">
        <v>285</v>
      </c>
      <c r="D3" s="673" t="s">
        <v>68</v>
      </c>
      <c r="E3" s="722" t="s">
        <v>287</v>
      </c>
      <c r="F3" s="723"/>
      <c r="G3" s="723"/>
      <c r="H3" s="723"/>
      <c r="I3" s="723"/>
      <c r="J3" s="723"/>
      <c r="K3" s="723"/>
      <c r="L3" s="723"/>
      <c r="M3" s="723"/>
      <c r="N3" s="723"/>
      <c r="O3" s="675" t="s">
        <v>55</v>
      </c>
      <c r="P3" s="724" t="s">
        <v>56</v>
      </c>
      <c r="Q3" s="725"/>
      <c r="R3" s="1063" t="s">
        <v>286</v>
      </c>
      <c r="S3" s="673" t="s">
        <v>68</v>
      </c>
      <c r="T3" s="816" t="s">
        <v>288</v>
      </c>
      <c r="U3" s="816"/>
      <c r="V3" s="816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AM3" s="817"/>
      <c r="AN3" s="817"/>
      <c r="AO3" s="817"/>
      <c r="AP3" s="817"/>
      <c r="AQ3" s="817"/>
      <c r="AR3" s="817"/>
      <c r="AS3" s="817"/>
      <c r="AT3" s="817"/>
      <c r="AU3" s="817"/>
      <c r="AV3" s="817"/>
      <c r="AW3" s="817"/>
      <c r="AX3" s="817"/>
      <c r="AY3" s="817"/>
      <c r="AZ3" s="817"/>
      <c r="BA3" s="817"/>
      <c r="BB3" s="817"/>
      <c r="BC3" s="817"/>
      <c r="BD3" s="817"/>
      <c r="BE3" s="817"/>
      <c r="BF3" s="817"/>
      <c r="BG3" s="817"/>
      <c r="BH3" s="817"/>
      <c r="BI3" s="817"/>
      <c r="BJ3" s="687"/>
      <c r="BK3" s="687"/>
      <c r="BL3" s="687"/>
      <c r="BM3" s="687"/>
      <c r="BN3" s="687"/>
      <c r="BO3" s="687"/>
    </row>
    <row r="4" spans="1:67" s="1" customFormat="1" ht="48" customHeight="1">
      <c r="A4" s="674"/>
      <c r="B4" s="674"/>
      <c r="C4" s="674"/>
      <c r="D4" s="674"/>
      <c r="E4" s="680" t="s">
        <v>297</v>
      </c>
      <c r="F4" s="681"/>
      <c r="G4" s="681"/>
      <c r="H4" s="681"/>
      <c r="I4" s="681"/>
      <c r="J4" s="681"/>
      <c r="K4" s="681"/>
      <c r="L4" s="681"/>
      <c r="M4" s="681"/>
      <c r="N4" s="681"/>
      <c r="O4" s="674"/>
      <c r="P4" s="726"/>
      <c r="Q4" s="727"/>
      <c r="R4" s="1064"/>
      <c r="S4" s="674"/>
      <c r="T4" s="676" t="s">
        <v>62</v>
      </c>
      <c r="U4" s="676"/>
      <c r="V4" s="676"/>
      <c r="W4" s="677"/>
      <c r="X4" s="688" t="s">
        <v>8</v>
      </c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73" t="s">
        <v>68</v>
      </c>
      <c r="AQ4" s="693" t="s">
        <v>19</v>
      </c>
      <c r="AR4" s="768"/>
      <c r="AS4" s="768"/>
      <c r="AT4" s="768"/>
      <c r="AU4" s="768"/>
      <c r="AV4" s="768"/>
      <c r="AW4" s="694"/>
      <c r="AX4" s="676" t="s">
        <v>19</v>
      </c>
      <c r="AY4" s="676"/>
      <c r="AZ4" s="676"/>
      <c r="BA4" s="676"/>
      <c r="BB4" s="676"/>
      <c r="BC4" s="676" t="s">
        <v>20</v>
      </c>
      <c r="BD4" s="676" t="s">
        <v>13</v>
      </c>
      <c r="BE4" s="676" t="s">
        <v>21</v>
      </c>
      <c r="BF4" s="676" t="s">
        <v>303</v>
      </c>
      <c r="BG4" s="704" t="s">
        <v>23</v>
      </c>
      <c r="BH4" s="704" t="s">
        <v>24</v>
      </c>
      <c r="BI4" s="811" t="s">
        <v>304</v>
      </c>
      <c r="BJ4" s="687" t="s">
        <v>129</v>
      </c>
      <c r="BK4" s="687"/>
      <c r="BL4" s="687"/>
      <c r="BM4" s="687"/>
      <c r="BN4" s="687"/>
      <c r="BO4" s="687"/>
    </row>
    <row r="5" spans="1:67" s="2" customFormat="1" ht="34.5" customHeight="1">
      <c r="A5" s="674"/>
      <c r="B5" s="674"/>
      <c r="C5" s="674"/>
      <c r="D5" s="674"/>
      <c r="E5" s="680" t="s">
        <v>53</v>
      </c>
      <c r="F5" s="681"/>
      <c r="G5" s="681"/>
      <c r="H5" s="680" t="s">
        <v>27</v>
      </c>
      <c r="I5" s="680" t="s">
        <v>10</v>
      </c>
      <c r="J5" s="680" t="s">
        <v>5</v>
      </c>
      <c r="K5" s="680" t="s">
        <v>51</v>
      </c>
      <c r="L5" s="680" t="s">
        <v>20</v>
      </c>
      <c r="M5" s="680" t="s">
        <v>13</v>
      </c>
      <c r="N5" s="680" t="s">
        <v>21</v>
      </c>
      <c r="O5" s="674"/>
      <c r="P5" s="680" t="s">
        <v>16</v>
      </c>
      <c r="Q5" s="680" t="s">
        <v>52</v>
      </c>
      <c r="R5" s="1064"/>
      <c r="S5" s="674"/>
      <c r="T5" s="676" t="s">
        <v>66</v>
      </c>
      <c r="U5" s="677"/>
      <c r="V5" s="677"/>
      <c r="W5" s="677"/>
      <c r="X5" s="676" t="s">
        <v>63</v>
      </c>
      <c r="Y5" s="676"/>
      <c r="Z5" s="676"/>
      <c r="AA5" s="676"/>
      <c r="AB5" s="692">
        <v>340</v>
      </c>
      <c r="AC5" s="692"/>
      <c r="AD5" s="692"/>
      <c r="AE5" s="692"/>
      <c r="AF5" s="692"/>
      <c r="AG5" s="692"/>
      <c r="AH5" s="692"/>
      <c r="AI5" s="692"/>
      <c r="AJ5" s="692"/>
      <c r="AK5" s="676" t="s">
        <v>4</v>
      </c>
      <c r="AL5" s="676"/>
      <c r="AM5" s="676"/>
      <c r="AN5" s="676"/>
      <c r="AO5" s="676"/>
      <c r="AP5" s="674"/>
      <c r="AQ5" s="676" t="s">
        <v>5</v>
      </c>
      <c r="AR5" s="676"/>
      <c r="AS5" s="676"/>
      <c r="AT5" s="676"/>
      <c r="AU5" s="676"/>
      <c r="AV5" s="676"/>
      <c r="AW5" s="676"/>
      <c r="AX5" s="676" t="s">
        <v>6</v>
      </c>
      <c r="AY5" s="717"/>
      <c r="AZ5" s="677"/>
      <c r="BA5" s="677"/>
      <c r="BB5" s="676">
        <v>290</v>
      </c>
      <c r="BC5" s="676"/>
      <c r="BD5" s="676"/>
      <c r="BE5" s="676"/>
      <c r="BF5" s="676"/>
      <c r="BG5" s="704"/>
      <c r="BH5" s="704"/>
      <c r="BI5" s="811"/>
      <c r="BJ5" s="691">
        <v>2110</v>
      </c>
      <c r="BK5" s="691">
        <v>2130</v>
      </c>
      <c r="BL5" s="691">
        <v>2230</v>
      </c>
      <c r="BM5" s="691">
        <v>7500</v>
      </c>
      <c r="BN5" s="691">
        <v>7660</v>
      </c>
      <c r="BO5" s="691" t="s">
        <v>130</v>
      </c>
    </row>
    <row r="6" spans="1:67" s="2" customFormat="1" ht="53.25" customHeight="1">
      <c r="A6" s="674"/>
      <c r="B6" s="674"/>
      <c r="C6" s="674"/>
      <c r="D6" s="674"/>
      <c r="E6" s="680" t="s">
        <v>26</v>
      </c>
      <c r="F6" s="680"/>
      <c r="G6" s="680"/>
      <c r="H6" s="681"/>
      <c r="I6" s="681"/>
      <c r="J6" s="681"/>
      <c r="K6" s="681"/>
      <c r="L6" s="681"/>
      <c r="M6" s="681"/>
      <c r="N6" s="681"/>
      <c r="O6" s="674"/>
      <c r="P6" s="681"/>
      <c r="Q6" s="681"/>
      <c r="R6" s="1064"/>
      <c r="S6" s="674"/>
      <c r="T6" s="676" t="s">
        <v>3</v>
      </c>
      <c r="U6" s="676" t="s">
        <v>64</v>
      </c>
      <c r="V6" s="676" t="s">
        <v>12</v>
      </c>
      <c r="W6" s="676" t="s">
        <v>65</v>
      </c>
      <c r="X6" s="676" t="s">
        <v>16</v>
      </c>
      <c r="Y6" s="676"/>
      <c r="Z6" s="676"/>
      <c r="AA6" s="676"/>
      <c r="AB6" s="676" t="s">
        <v>27</v>
      </c>
      <c r="AC6" s="676"/>
      <c r="AD6" s="676"/>
      <c r="AE6" s="676"/>
      <c r="AF6" s="676"/>
      <c r="AG6" s="676"/>
      <c r="AH6" s="676"/>
      <c r="AI6" s="676"/>
      <c r="AJ6" s="676"/>
      <c r="AK6" s="676" t="s">
        <v>10</v>
      </c>
      <c r="AL6" s="676"/>
      <c r="AM6" s="676"/>
      <c r="AN6" s="676"/>
      <c r="AO6" s="676"/>
      <c r="AP6" s="674"/>
      <c r="AQ6" s="676">
        <v>225</v>
      </c>
      <c r="AR6" s="676"/>
      <c r="AS6" s="676"/>
      <c r="AT6" s="676"/>
      <c r="AU6" s="676"/>
      <c r="AV6" s="20">
        <v>290</v>
      </c>
      <c r="AW6" s="20">
        <v>224</v>
      </c>
      <c r="AX6" s="20" t="s">
        <v>4</v>
      </c>
      <c r="AY6" s="20" t="s">
        <v>4</v>
      </c>
      <c r="AZ6" s="676" t="s">
        <v>4</v>
      </c>
      <c r="BA6" s="676"/>
      <c r="BB6" s="676"/>
      <c r="BC6" s="676"/>
      <c r="BD6" s="676"/>
      <c r="BE6" s="676"/>
      <c r="BF6" s="676"/>
      <c r="BG6" s="704"/>
      <c r="BH6" s="704"/>
      <c r="BI6" s="811"/>
      <c r="BJ6" s="691"/>
      <c r="BK6" s="691"/>
      <c r="BL6" s="691"/>
      <c r="BM6" s="691"/>
      <c r="BN6" s="691"/>
      <c r="BO6" s="691"/>
    </row>
    <row r="7" spans="1:67" s="2" customFormat="1" ht="43.5" customHeight="1">
      <c r="A7" s="674"/>
      <c r="B7" s="674"/>
      <c r="C7" s="674"/>
      <c r="D7" s="674"/>
      <c r="E7" s="680" t="s">
        <v>3</v>
      </c>
      <c r="F7" s="680" t="s">
        <v>12</v>
      </c>
      <c r="G7" s="680" t="s">
        <v>11</v>
      </c>
      <c r="H7" s="681"/>
      <c r="I7" s="681"/>
      <c r="J7" s="681"/>
      <c r="K7" s="681"/>
      <c r="L7" s="681"/>
      <c r="M7" s="681"/>
      <c r="N7" s="681"/>
      <c r="O7" s="674"/>
      <c r="P7" s="681"/>
      <c r="Q7" s="681"/>
      <c r="R7" s="1064"/>
      <c r="S7" s="674"/>
      <c r="T7" s="677"/>
      <c r="U7" s="677"/>
      <c r="V7" s="677"/>
      <c r="W7" s="677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674"/>
      <c r="AQ7" s="676" t="s">
        <v>28</v>
      </c>
      <c r="AR7" s="676" t="s">
        <v>29</v>
      </c>
      <c r="AS7" s="676" t="s">
        <v>119</v>
      </c>
      <c r="AT7" s="676"/>
      <c r="AU7" s="676"/>
      <c r="AV7" s="676" t="s">
        <v>31</v>
      </c>
      <c r="AW7" s="676" t="s">
        <v>140</v>
      </c>
      <c r="AX7" s="676" t="s">
        <v>32</v>
      </c>
      <c r="AY7" s="676" t="s">
        <v>33</v>
      </c>
      <c r="AZ7" s="676" t="s">
        <v>34</v>
      </c>
      <c r="BA7" s="676"/>
      <c r="BB7" s="676" t="s">
        <v>35</v>
      </c>
      <c r="BC7" s="676"/>
      <c r="BD7" s="676"/>
      <c r="BE7" s="676"/>
      <c r="BF7" s="676"/>
      <c r="BG7" s="704"/>
      <c r="BH7" s="704"/>
      <c r="BI7" s="811"/>
      <c r="BJ7" s="691"/>
      <c r="BK7" s="691"/>
      <c r="BL7" s="691"/>
      <c r="BM7" s="691"/>
      <c r="BN7" s="691"/>
      <c r="BO7" s="691"/>
    </row>
    <row r="8" spans="1:67" s="2" customFormat="1" ht="26.25" customHeight="1">
      <c r="A8" s="674"/>
      <c r="B8" s="674"/>
      <c r="C8" s="674"/>
      <c r="D8" s="674"/>
      <c r="E8" s="680"/>
      <c r="F8" s="680"/>
      <c r="G8" s="680"/>
      <c r="H8" s="681"/>
      <c r="I8" s="681"/>
      <c r="J8" s="681"/>
      <c r="K8" s="681"/>
      <c r="L8" s="681"/>
      <c r="M8" s="681"/>
      <c r="N8" s="681"/>
      <c r="O8" s="674"/>
      <c r="P8" s="681"/>
      <c r="Q8" s="681"/>
      <c r="R8" s="1064"/>
      <c r="S8" s="674"/>
      <c r="T8" s="677"/>
      <c r="U8" s="677"/>
      <c r="V8" s="677"/>
      <c r="W8" s="677"/>
      <c r="X8" s="676" t="s">
        <v>9</v>
      </c>
      <c r="Y8" s="676" t="s">
        <v>98</v>
      </c>
      <c r="Z8" s="676" t="s">
        <v>17</v>
      </c>
      <c r="AA8" s="676" t="s">
        <v>18</v>
      </c>
      <c r="AB8" s="676" t="s">
        <v>36</v>
      </c>
      <c r="AC8" s="676" t="s">
        <v>37</v>
      </c>
      <c r="AD8" s="676" t="s">
        <v>38</v>
      </c>
      <c r="AE8" s="676" t="s">
        <v>39</v>
      </c>
      <c r="AF8" s="676" t="s">
        <v>40</v>
      </c>
      <c r="AG8" s="676" t="s">
        <v>14</v>
      </c>
      <c r="AH8" s="676" t="s">
        <v>41</v>
      </c>
      <c r="AI8" s="676" t="s">
        <v>15</v>
      </c>
      <c r="AJ8" s="676" t="s">
        <v>42</v>
      </c>
      <c r="AK8" s="676" t="s">
        <v>43</v>
      </c>
      <c r="AL8" s="676" t="s">
        <v>44</v>
      </c>
      <c r="AM8" s="676" t="s">
        <v>45</v>
      </c>
      <c r="AN8" s="676" t="s">
        <v>46</v>
      </c>
      <c r="AO8" s="676" t="s">
        <v>47</v>
      </c>
      <c r="AP8" s="674"/>
      <c r="AQ8" s="676"/>
      <c r="AR8" s="676"/>
      <c r="AS8" s="676" t="s">
        <v>48</v>
      </c>
      <c r="AT8" s="676" t="s">
        <v>49</v>
      </c>
      <c r="AU8" s="676" t="s">
        <v>50</v>
      </c>
      <c r="AV8" s="676"/>
      <c r="AW8" s="676"/>
      <c r="AX8" s="676"/>
      <c r="AY8" s="676"/>
      <c r="AZ8" s="676"/>
      <c r="BA8" s="676"/>
      <c r="BB8" s="676"/>
      <c r="BC8" s="676"/>
      <c r="BD8" s="676"/>
      <c r="BE8" s="676"/>
      <c r="BF8" s="676"/>
      <c r="BG8" s="704"/>
      <c r="BH8" s="704"/>
      <c r="BI8" s="811"/>
      <c r="BJ8" s="691"/>
      <c r="BK8" s="691"/>
      <c r="BL8" s="691"/>
      <c r="BM8" s="691"/>
      <c r="BN8" s="691"/>
      <c r="BO8" s="691"/>
    </row>
    <row r="9" spans="1:67" s="2" customFormat="1" ht="60" customHeight="1">
      <c r="A9" s="716"/>
      <c r="B9" s="716"/>
      <c r="C9" s="716"/>
      <c r="D9" s="716"/>
      <c r="E9" s="680"/>
      <c r="F9" s="680"/>
      <c r="G9" s="680"/>
      <c r="H9" s="681"/>
      <c r="I9" s="681"/>
      <c r="J9" s="681"/>
      <c r="K9" s="681"/>
      <c r="L9" s="681"/>
      <c r="M9" s="681"/>
      <c r="N9" s="681"/>
      <c r="O9" s="716"/>
      <c r="P9" s="681"/>
      <c r="Q9" s="681"/>
      <c r="R9" s="1065"/>
      <c r="S9" s="716"/>
      <c r="T9" s="677"/>
      <c r="U9" s="677"/>
      <c r="V9" s="677"/>
      <c r="W9" s="677"/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6"/>
      <c r="AL9" s="676"/>
      <c r="AM9" s="676"/>
      <c r="AN9" s="676"/>
      <c r="AO9" s="676"/>
      <c r="AP9" s="674"/>
      <c r="AQ9" s="676"/>
      <c r="AR9" s="676"/>
      <c r="AS9" s="676"/>
      <c r="AT9" s="676"/>
      <c r="AU9" s="676"/>
      <c r="AV9" s="676"/>
      <c r="AW9" s="676"/>
      <c r="AX9" s="676"/>
      <c r="AY9" s="676"/>
      <c r="AZ9" s="676"/>
      <c r="BA9" s="676"/>
      <c r="BB9" s="676"/>
      <c r="BC9" s="676"/>
      <c r="BD9" s="676"/>
      <c r="BE9" s="676"/>
      <c r="BF9" s="676"/>
      <c r="BG9" s="704"/>
      <c r="BH9" s="704"/>
      <c r="BI9" s="811"/>
      <c r="BJ9" s="691"/>
      <c r="BK9" s="691"/>
      <c r="BL9" s="691"/>
      <c r="BM9" s="691"/>
      <c r="BN9" s="691"/>
      <c r="BO9" s="691"/>
    </row>
    <row r="10" spans="1:67" ht="100.5" customHeight="1">
      <c r="A10" s="63" t="s">
        <v>158</v>
      </c>
      <c r="B10" s="52" t="s">
        <v>159</v>
      </c>
      <c r="C10" s="64">
        <v>50</v>
      </c>
      <c r="D10" s="48" t="s">
        <v>110</v>
      </c>
      <c r="E10" s="53">
        <f>ROUND((T10+U10)/C10,3)</f>
        <v>15616.338</v>
      </c>
      <c r="F10" s="53">
        <f>ROUND((V10+W10)/C10,2)</f>
        <v>0</v>
      </c>
      <c r="G10" s="53">
        <f>E10+F10</f>
        <v>15616.338</v>
      </c>
      <c r="H10" s="53">
        <f>ROUND(AJ10/C10,2)</f>
        <v>0</v>
      </c>
      <c r="I10" s="53">
        <f>ROUND((AK10+AL10+AM10+AN10+AO10)/C10,2)</f>
        <v>0</v>
      </c>
      <c r="J10" s="53">
        <f>ROUND((AQ10+AR10+AS10+AT10+AU10)/C10,2)</f>
        <v>0</v>
      </c>
      <c r="K10" s="53">
        <f>ROUND((AX10+AY10)/C10,2)</f>
        <v>0</v>
      </c>
      <c r="L10" s="54">
        <f>ROUND(BC10/C10,2)</f>
        <v>0</v>
      </c>
      <c r="M10" s="54">
        <f>ROUND(BD10/C10,3)</f>
        <v>0</v>
      </c>
      <c r="N10" s="54">
        <f>ROUND(BE10/C10,2)</f>
        <v>0</v>
      </c>
      <c r="O10" s="53">
        <f>N10+M10+L10+K10+J10+I10+H10+G10</f>
        <v>15616.338</v>
      </c>
      <c r="P10" s="53">
        <f>ROUND((X10+Z10+AA10)/C10,2)</f>
        <v>0</v>
      </c>
      <c r="Q10" s="53">
        <f>ROUND(AV10/C10,2)</f>
        <v>0</v>
      </c>
      <c r="R10" s="170">
        <f>O10+P10+Q10</f>
        <v>15616.338</v>
      </c>
      <c r="S10" s="48" t="s">
        <v>110</v>
      </c>
      <c r="T10" s="58">
        <v>599707.07999999996</v>
      </c>
      <c r="U10" s="58">
        <v>181109.82</v>
      </c>
      <c r="V10" s="43"/>
      <c r="W10" s="43"/>
      <c r="X10" s="43"/>
      <c r="Y10" s="43"/>
      <c r="Z10" s="43"/>
      <c r="AA10" s="43"/>
      <c r="AB10" s="44"/>
      <c r="AC10" s="44"/>
      <c r="AD10" s="43"/>
      <c r="AE10" s="43"/>
      <c r="AF10" s="43"/>
      <c r="AG10" s="43"/>
      <c r="AH10" s="44"/>
      <c r="AI10" s="44"/>
      <c r="AJ10" s="43">
        <f>AB10+AC10+AD10+AE10+AF10+AG10+AI10+AH10</f>
        <v>0</v>
      </c>
      <c r="AK10" s="43"/>
      <c r="AL10" s="43"/>
      <c r="AM10" s="43"/>
      <c r="AN10" s="43"/>
      <c r="AO10" s="43"/>
      <c r="AP10" s="48" t="s">
        <v>110</v>
      </c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3"/>
      <c r="BF10" s="43">
        <f>T10+U10+V10+W10+X10+Z10+AA10+AJ10+AK10+AL10+AM10+AN10+AQ10+AR10+AS10+AT10+AU10+AV10+AW10+AX10+AY10+AZ10+BA10+BB10+BC10+BD10+BE10</f>
        <v>780816.89999999991</v>
      </c>
      <c r="BG10" s="61"/>
      <c r="BH10" s="61"/>
      <c r="BI10" s="67">
        <f>ROUND(BF10/C10,2)</f>
        <v>15616.34</v>
      </c>
      <c r="BJ10" s="220">
        <f>T10</f>
        <v>599707.07999999996</v>
      </c>
      <c r="BK10" s="220">
        <f>U10</f>
        <v>181109.82</v>
      </c>
      <c r="BL10" s="220"/>
      <c r="BM10" s="220">
        <f>BD10</f>
        <v>0</v>
      </c>
      <c r="BN10" s="220"/>
      <c r="BO10" s="220">
        <f>BJ10+BK10+BL10+BM10+BN10</f>
        <v>780816.89999999991</v>
      </c>
    </row>
    <row r="11" spans="1:67">
      <c r="BM11" t="s">
        <v>274</v>
      </c>
    </row>
  </sheetData>
  <mergeCells count="94">
    <mergeCell ref="BO5:BO9"/>
    <mergeCell ref="AI8:AI9"/>
    <mergeCell ref="Y8:Y9"/>
    <mergeCell ref="AF8:AF9"/>
    <mergeCell ref="BJ3:BO3"/>
    <mergeCell ref="BJ4:BO4"/>
    <mergeCell ref="BJ5:BJ9"/>
    <mergeCell ref="BK5:BK9"/>
    <mergeCell ref="BL5:BL9"/>
    <mergeCell ref="BM5:BM9"/>
    <mergeCell ref="BN5:BN9"/>
    <mergeCell ref="AX4:BB4"/>
    <mergeCell ref="BI4:BI9"/>
    <mergeCell ref="BD4:BD9"/>
    <mergeCell ref="BE4:BE9"/>
    <mergeCell ref="BF4:BF9"/>
    <mergeCell ref="A1:R1"/>
    <mergeCell ref="A2:R2"/>
    <mergeCell ref="AK5:AO5"/>
    <mergeCell ref="AQ5:AW5"/>
    <mergeCell ref="P3:Q4"/>
    <mergeCell ref="R3:R9"/>
    <mergeCell ref="M5:M9"/>
    <mergeCell ref="V6:V9"/>
    <mergeCell ref="T3:BI3"/>
    <mergeCell ref="AV7:AV9"/>
    <mergeCell ref="BB7:BB9"/>
    <mergeCell ref="AX5:BA5"/>
    <mergeCell ref="AZ7:BA9"/>
    <mergeCell ref="AW7:AW9"/>
    <mergeCell ref="AY7:AY9"/>
    <mergeCell ref="AZ6:BA6"/>
    <mergeCell ref="AJ8:AJ9"/>
    <mergeCell ref="AA8:AA9"/>
    <mergeCell ref="T4:W4"/>
    <mergeCell ref="BG4:BG9"/>
    <mergeCell ref="BH4:BH9"/>
    <mergeCell ref="AX7:AX9"/>
    <mergeCell ref="BC4:BC9"/>
    <mergeCell ref="BB5:BB6"/>
    <mergeCell ref="AD8:AD9"/>
    <mergeCell ref="O3:O9"/>
    <mergeCell ref="S3:S9"/>
    <mergeCell ref="AG8:AG9"/>
    <mergeCell ref="W6:W9"/>
    <mergeCell ref="X6:AA7"/>
    <mergeCell ref="K5:K9"/>
    <mergeCell ref="AU8:AU9"/>
    <mergeCell ref="AT8:AT9"/>
    <mergeCell ref="T6:T9"/>
    <mergeCell ref="U6:U9"/>
    <mergeCell ref="X8:X9"/>
    <mergeCell ref="Z8:Z9"/>
    <mergeCell ref="AE8:AE9"/>
    <mergeCell ref="AS7:AU7"/>
    <mergeCell ref="AQ6:AU6"/>
    <mergeCell ref="AP4:AP9"/>
    <mergeCell ref="AK6:AO7"/>
    <mergeCell ref="AB8:AB9"/>
    <mergeCell ref="AH8:AH9"/>
    <mergeCell ref="T5:W5"/>
    <mergeCell ref="AB6:AJ7"/>
    <mergeCell ref="A3:A9"/>
    <mergeCell ref="B3:B9"/>
    <mergeCell ref="C3:C9"/>
    <mergeCell ref="AL8:AL9"/>
    <mergeCell ref="AK8:AK9"/>
    <mergeCell ref="H5:H9"/>
    <mergeCell ref="G7:G9"/>
    <mergeCell ref="D3:D9"/>
    <mergeCell ref="E5:G5"/>
    <mergeCell ref="E4:N4"/>
    <mergeCell ref="E6:G6"/>
    <mergeCell ref="E7:E9"/>
    <mergeCell ref="F7:F9"/>
    <mergeCell ref="E3:N3"/>
    <mergeCell ref="I5:I9"/>
    <mergeCell ref="J5:J9"/>
    <mergeCell ref="AT1:BA1"/>
    <mergeCell ref="P5:P9"/>
    <mergeCell ref="Q5:Q9"/>
    <mergeCell ref="L5:L9"/>
    <mergeCell ref="N5:N9"/>
    <mergeCell ref="AC8:AC9"/>
    <mergeCell ref="X5:AA5"/>
    <mergeCell ref="AQ7:AQ9"/>
    <mergeCell ref="AR7:AR9"/>
    <mergeCell ref="AB5:AJ5"/>
    <mergeCell ref="AQ4:AW4"/>
    <mergeCell ref="X4:AO4"/>
    <mergeCell ref="AM8:AM9"/>
    <mergeCell ref="AN8:AN9"/>
    <mergeCell ref="AS8:AS9"/>
    <mergeCell ref="AO8:AO9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>
    <tabColor rgb="FFFF0000"/>
  </sheetPr>
  <dimension ref="A1:BP24"/>
  <sheetViews>
    <sheetView zoomScale="80" zoomScaleNormal="80" workbookViewId="0">
      <pane ySplit="9" topLeftCell="A10" activePane="bottomLeft" state="frozen"/>
      <selection pane="bottomLeft" activeCell="K13" sqref="K13"/>
    </sheetView>
  </sheetViews>
  <sheetFormatPr defaultRowHeight="12.75" outlineLevelRow="1"/>
  <cols>
    <col min="1" max="1" width="35.7109375" style="3" customWidth="1"/>
    <col min="2" max="2" width="14.28515625" style="3" customWidth="1"/>
    <col min="3" max="3" width="9.42578125" style="3" customWidth="1"/>
    <col min="4" max="4" width="19.85546875" style="3" customWidth="1"/>
    <col min="5" max="5" width="11.7109375" style="3" customWidth="1"/>
    <col min="6" max="6" width="11.5703125" style="3" customWidth="1"/>
    <col min="7" max="7" width="10.5703125" style="3" customWidth="1"/>
    <col min="8" max="8" width="11.7109375" style="3" customWidth="1"/>
    <col min="9" max="9" width="9.85546875" style="3" customWidth="1"/>
    <col min="10" max="10" width="12.5703125" style="3" customWidth="1"/>
    <col min="11" max="11" width="11.42578125" style="3" customWidth="1"/>
    <col min="12" max="12" width="7.85546875" style="3" customWidth="1"/>
    <col min="13" max="13" width="9.140625" style="3"/>
    <col min="14" max="14" width="10.42578125" style="3" customWidth="1"/>
    <col min="15" max="17" width="10.85546875" style="3" customWidth="1"/>
    <col min="18" max="18" width="13.42578125" style="3" customWidth="1"/>
    <col min="19" max="19" width="22.140625" style="3" customWidth="1"/>
    <col min="20" max="20" width="13.85546875" style="17" customWidth="1"/>
    <col min="21" max="21" width="13.140625" style="17" customWidth="1"/>
    <col min="22" max="22" width="13.5703125" style="17" customWidth="1"/>
    <col min="23" max="23" width="13.42578125" style="17" customWidth="1"/>
    <col min="24" max="24" width="11" style="17" customWidth="1"/>
    <col min="25" max="25" width="12.28515625" style="17" customWidth="1"/>
    <col min="26" max="26" width="10.7109375" style="17" customWidth="1"/>
    <col min="27" max="27" width="9.42578125" style="17" customWidth="1"/>
    <col min="28" max="28" width="10" style="173" customWidth="1"/>
    <col min="29" max="29" width="10.140625" style="173" hidden="1" customWidth="1"/>
    <col min="30" max="30" width="8.42578125" style="173" customWidth="1"/>
    <col min="31" max="31" width="9.42578125" style="173" customWidth="1"/>
    <col min="32" max="32" width="10.140625" style="173" customWidth="1"/>
    <col min="33" max="33" width="9.42578125" style="173" hidden="1" customWidth="1"/>
    <col min="34" max="34" width="10.42578125" style="173" customWidth="1"/>
    <col min="35" max="35" width="9.5703125" style="173" customWidth="1"/>
    <col min="36" max="36" width="10.7109375" style="173" customWidth="1"/>
    <col min="37" max="38" width="12.5703125" style="173" customWidth="1"/>
    <col min="39" max="39" width="9.5703125" style="173" customWidth="1"/>
    <col min="40" max="40" width="11.42578125" style="173" customWidth="1"/>
    <col min="41" max="41" width="10.5703125" style="173" customWidth="1"/>
    <col min="42" max="42" width="5.7109375" style="17" customWidth="1"/>
    <col min="43" max="43" width="15.85546875" style="3" customWidth="1"/>
    <col min="44" max="44" width="10" style="17" customWidth="1"/>
    <col min="45" max="45" width="10.28515625" style="17" customWidth="1"/>
    <col min="46" max="46" width="11.140625" style="17" customWidth="1"/>
    <col min="47" max="47" width="8.42578125" style="17" customWidth="1"/>
    <col min="48" max="48" width="11.28515625" style="17" customWidth="1"/>
    <col min="49" max="49" width="12.85546875" style="17" customWidth="1"/>
    <col min="50" max="50" width="8.140625" style="17" customWidth="1"/>
    <col min="51" max="51" width="11.28515625" style="17" customWidth="1"/>
    <col min="52" max="52" width="9.28515625" style="5" customWidth="1"/>
    <col min="53" max="54" width="9.28515625" style="5" hidden="1" customWidth="1"/>
    <col min="55" max="55" width="8.28515625" style="5" customWidth="1"/>
    <col min="56" max="56" width="5.7109375" style="5" customWidth="1"/>
    <col min="57" max="57" width="12.5703125" style="5" customWidth="1"/>
    <col min="58" max="58" width="7.140625" style="5" hidden="1" customWidth="1"/>
    <col min="59" max="59" width="14.42578125" style="18" customWidth="1"/>
    <col min="60" max="60" width="0" style="16" hidden="1" customWidth="1"/>
    <col min="61" max="61" width="13.5703125" style="16" hidden="1" customWidth="1"/>
    <col min="62" max="62" width="11" style="16" customWidth="1"/>
    <col min="63" max="63" width="15.5703125" customWidth="1"/>
    <col min="64" max="64" width="17.140625" customWidth="1"/>
    <col min="65" max="66" width="14.42578125" customWidth="1"/>
    <col min="67" max="67" width="14.7109375" customWidth="1"/>
    <col min="68" max="68" width="15.7109375" customWidth="1"/>
  </cols>
  <sheetData>
    <row r="1" spans="1:68" ht="27" customHeight="1">
      <c r="A1" s="1061" t="s">
        <v>401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BI1" s="769"/>
      <c r="BJ1" s="769"/>
      <c r="BK1" s="769"/>
      <c r="BL1" s="769"/>
      <c r="BM1" s="719"/>
      <c r="BN1" s="719"/>
      <c r="BO1" s="719"/>
      <c r="BP1" s="719"/>
    </row>
    <row r="2" spans="1:68" ht="36.75" customHeight="1">
      <c r="A2" s="1068" t="s">
        <v>310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6"/>
      <c r="AR2" s="19"/>
      <c r="AS2" s="19"/>
      <c r="AT2" s="19"/>
      <c r="AU2" s="19"/>
      <c r="AV2" s="19"/>
      <c r="AW2" s="19"/>
      <c r="AX2" s="19"/>
      <c r="AY2" s="19"/>
    </row>
    <row r="3" spans="1:68" ht="28.5" customHeight="1">
      <c r="A3" s="713" t="s">
        <v>291</v>
      </c>
      <c r="B3" s="713" t="s">
        <v>2</v>
      </c>
      <c r="C3" s="713" t="s">
        <v>285</v>
      </c>
      <c r="D3" s="673" t="s">
        <v>68</v>
      </c>
      <c r="E3" s="722" t="s">
        <v>287</v>
      </c>
      <c r="F3" s="723"/>
      <c r="G3" s="723"/>
      <c r="H3" s="723"/>
      <c r="I3" s="723"/>
      <c r="J3" s="723"/>
      <c r="K3" s="723"/>
      <c r="L3" s="723"/>
      <c r="M3" s="723"/>
      <c r="N3" s="723"/>
      <c r="O3" s="675" t="s">
        <v>298</v>
      </c>
      <c r="P3" s="724" t="s">
        <v>56</v>
      </c>
      <c r="Q3" s="725"/>
      <c r="R3" s="1063" t="s">
        <v>286</v>
      </c>
      <c r="S3" s="673" t="s">
        <v>68</v>
      </c>
      <c r="T3" s="816" t="s">
        <v>288</v>
      </c>
      <c r="U3" s="816"/>
      <c r="V3" s="816"/>
      <c r="W3" s="817"/>
      <c r="X3" s="817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AM3" s="817"/>
      <c r="AN3" s="817"/>
      <c r="AO3" s="817"/>
      <c r="AP3" s="817"/>
      <c r="AQ3" s="817"/>
      <c r="AR3" s="817"/>
      <c r="AS3" s="817"/>
      <c r="AT3" s="817"/>
      <c r="AU3" s="817"/>
      <c r="AV3" s="817"/>
      <c r="AW3" s="817"/>
      <c r="AX3" s="817"/>
      <c r="AY3" s="817"/>
      <c r="AZ3" s="817"/>
      <c r="BA3" s="817"/>
      <c r="BB3" s="817"/>
      <c r="BC3" s="817"/>
      <c r="BD3" s="817"/>
      <c r="BE3" s="817"/>
      <c r="BF3" s="817"/>
      <c r="BG3" s="817"/>
      <c r="BH3" s="817"/>
      <c r="BI3" s="817"/>
      <c r="BJ3" s="817"/>
      <c r="BK3" s="687"/>
      <c r="BL3" s="687"/>
      <c r="BM3" s="687"/>
      <c r="BN3" s="687"/>
      <c r="BO3" s="687"/>
      <c r="BP3" s="687"/>
    </row>
    <row r="4" spans="1:68" s="1" customFormat="1" ht="36.75" customHeight="1">
      <c r="A4" s="674"/>
      <c r="B4" s="674"/>
      <c r="C4" s="674"/>
      <c r="D4" s="674"/>
      <c r="E4" s="680" t="s">
        <v>59</v>
      </c>
      <c r="F4" s="681"/>
      <c r="G4" s="681"/>
      <c r="H4" s="681"/>
      <c r="I4" s="681"/>
      <c r="J4" s="681"/>
      <c r="K4" s="681"/>
      <c r="L4" s="681"/>
      <c r="M4" s="681"/>
      <c r="N4" s="681"/>
      <c r="O4" s="674"/>
      <c r="P4" s="726"/>
      <c r="Q4" s="727"/>
      <c r="R4" s="1064"/>
      <c r="S4" s="674"/>
      <c r="T4" s="676" t="s">
        <v>62</v>
      </c>
      <c r="U4" s="676"/>
      <c r="V4" s="676"/>
      <c r="W4" s="677"/>
      <c r="X4" s="688" t="s">
        <v>289</v>
      </c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73" t="s">
        <v>68</v>
      </c>
      <c r="AR4" s="688" t="s">
        <v>19</v>
      </c>
      <c r="AS4" s="688"/>
      <c r="AT4" s="688"/>
      <c r="AU4" s="688"/>
      <c r="AV4" s="688"/>
      <c r="AW4" s="688"/>
      <c r="AX4" s="688"/>
      <c r="AY4" s="676" t="s">
        <v>19</v>
      </c>
      <c r="AZ4" s="676"/>
      <c r="BA4" s="676"/>
      <c r="BB4" s="676"/>
      <c r="BC4" s="676"/>
      <c r="BD4" s="676" t="s">
        <v>20</v>
      </c>
      <c r="BE4" s="676" t="s">
        <v>13</v>
      </c>
      <c r="BF4" s="676" t="s">
        <v>21</v>
      </c>
      <c r="BG4" s="676" t="s">
        <v>22</v>
      </c>
      <c r="BH4" s="704" t="s">
        <v>23</v>
      </c>
      <c r="BI4" s="704" t="s">
        <v>24</v>
      </c>
      <c r="BJ4" s="811" t="s">
        <v>311</v>
      </c>
      <c r="BK4" s="687" t="s">
        <v>129</v>
      </c>
      <c r="BL4" s="687"/>
      <c r="BM4" s="687"/>
      <c r="BN4" s="687"/>
      <c r="BO4" s="687"/>
      <c r="BP4" s="687"/>
    </row>
    <row r="5" spans="1:68" s="2" customFormat="1" ht="64.5" customHeight="1">
      <c r="A5" s="674"/>
      <c r="B5" s="674"/>
      <c r="C5" s="674"/>
      <c r="D5" s="674"/>
      <c r="E5" s="680" t="s">
        <v>53</v>
      </c>
      <c r="F5" s="681"/>
      <c r="G5" s="681"/>
      <c r="H5" s="680" t="s">
        <v>27</v>
      </c>
      <c r="I5" s="680" t="s">
        <v>10</v>
      </c>
      <c r="J5" s="680" t="s">
        <v>5</v>
      </c>
      <c r="K5" s="680" t="s">
        <v>51</v>
      </c>
      <c r="L5" s="680" t="s">
        <v>20</v>
      </c>
      <c r="M5" s="680" t="s">
        <v>13</v>
      </c>
      <c r="N5" s="680" t="s">
        <v>21</v>
      </c>
      <c r="O5" s="674"/>
      <c r="P5" s="680" t="s">
        <v>16</v>
      </c>
      <c r="Q5" s="680" t="s">
        <v>52</v>
      </c>
      <c r="R5" s="1064"/>
      <c r="S5" s="674"/>
      <c r="T5" s="676" t="s">
        <v>66</v>
      </c>
      <c r="U5" s="677"/>
      <c r="V5" s="677"/>
      <c r="W5" s="677"/>
      <c r="X5" s="693" t="s">
        <v>63</v>
      </c>
      <c r="Y5" s="768"/>
      <c r="Z5" s="768"/>
      <c r="AA5" s="737"/>
      <c r="AB5" s="692">
        <v>340</v>
      </c>
      <c r="AC5" s="692"/>
      <c r="AD5" s="692"/>
      <c r="AE5" s="692"/>
      <c r="AF5" s="692"/>
      <c r="AG5" s="692"/>
      <c r="AH5" s="692"/>
      <c r="AI5" s="692"/>
      <c r="AJ5" s="692"/>
      <c r="AK5" s="676" t="s">
        <v>4</v>
      </c>
      <c r="AL5" s="676"/>
      <c r="AM5" s="676"/>
      <c r="AN5" s="676"/>
      <c r="AO5" s="676"/>
      <c r="AP5" s="676"/>
      <c r="AQ5" s="674"/>
      <c r="AR5" s="676" t="s">
        <v>5</v>
      </c>
      <c r="AS5" s="676"/>
      <c r="AT5" s="676"/>
      <c r="AU5" s="676"/>
      <c r="AV5" s="676"/>
      <c r="AW5" s="676"/>
      <c r="AX5" s="676"/>
      <c r="AY5" s="676" t="s">
        <v>6</v>
      </c>
      <c r="AZ5" s="717"/>
      <c r="BA5" s="677"/>
      <c r="BB5" s="677"/>
      <c r="BC5" s="692">
        <v>290</v>
      </c>
      <c r="BD5" s="676"/>
      <c r="BE5" s="676"/>
      <c r="BF5" s="676"/>
      <c r="BG5" s="676"/>
      <c r="BH5" s="704"/>
      <c r="BI5" s="704"/>
      <c r="BJ5" s="811"/>
      <c r="BK5" s="691">
        <v>2110</v>
      </c>
      <c r="BL5" s="691">
        <v>2130</v>
      </c>
      <c r="BM5" s="691">
        <v>2230</v>
      </c>
      <c r="BN5" s="691">
        <v>7500</v>
      </c>
      <c r="BO5" s="691">
        <v>7660</v>
      </c>
      <c r="BP5" s="691" t="s">
        <v>130</v>
      </c>
    </row>
    <row r="6" spans="1:68" s="2" customFormat="1" ht="30" customHeight="1">
      <c r="A6" s="674"/>
      <c r="B6" s="674"/>
      <c r="C6" s="674"/>
      <c r="D6" s="674"/>
      <c r="E6" s="680" t="s">
        <v>26</v>
      </c>
      <c r="F6" s="680"/>
      <c r="G6" s="680"/>
      <c r="H6" s="681"/>
      <c r="I6" s="681"/>
      <c r="J6" s="681"/>
      <c r="K6" s="681"/>
      <c r="L6" s="681"/>
      <c r="M6" s="681"/>
      <c r="N6" s="681"/>
      <c r="O6" s="674"/>
      <c r="P6" s="681"/>
      <c r="Q6" s="681"/>
      <c r="R6" s="1064"/>
      <c r="S6" s="674"/>
      <c r="T6" s="676" t="s">
        <v>3</v>
      </c>
      <c r="U6" s="676" t="s">
        <v>64</v>
      </c>
      <c r="V6" s="676" t="s">
        <v>12</v>
      </c>
      <c r="W6" s="676" t="s">
        <v>65</v>
      </c>
      <c r="X6" s="795" t="s">
        <v>16</v>
      </c>
      <c r="Y6" s="796"/>
      <c r="Z6" s="796"/>
      <c r="AA6" s="1066"/>
      <c r="AB6" s="676" t="s">
        <v>27</v>
      </c>
      <c r="AC6" s="676"/>
      <c r="AD6" s="676"/>
      <c r="AE6" s="676"/>
      <c r="AF6" s="676"/>
      <c r="AG6" s="676"/>
      <c r="AH6" s="676"/>
      <c r="AI6" s="676"/>
      <c r="AJ6" s="676"/>
      <c r="AK6" s="676" t="s">
        <v>10</v>
      </c>
      <c r="AL6" s="676"/>
      <c r="AM6" s="676"/>
      <c r="AN6" s="676"/>
      <c r="AO6" s="676"/>
      <c r="AP6" s="676"/>
      <c r="AQ6" s="674"/>
      <c r="AR6" s="692">
        <v>225</v>
      </c>
      <c r="AS6" s="692"/>
      <c r="AT6" s="692"/>
      <c r="AU6" s="692"/>
      <c r="AV6" s="692"/>
      <c r="AW6" s="47">
        <v>290</v>
      </c>
      <c r="AX6" s="47">
        <v>224</v>
      </c>
      <c r="AY6" s="20" t="s">
        <v>4</v>
      </c>
      <c r="AZ6" s="20" t="s">
        <v>4</v>
      </c>
      <c r="BA6" s="676" t="s">
        <v>4</v>
      </c>
      <c r="BB6" s="676"/>
      <c r="BC6" s="692"/>
      <c r="BD6" s="676"/>
      <c r="BE6" s="676"/>
      <c r="BF6" s="676"/>
      <c r="BG6" s="676"/>
      <c r="BH6" s="704"/>
      <c r="BI6" s="704"/>
      <c r="BJ6" s="811"/>
      <c r="BK6" s="691"/>
      <c r="BL6" s="691"/>
      <c r="BM6" s="691"/>
      <c r="BN6" s="691"/>
      <c r="BO6" s="691"/>
      <c r="BP6" s="691"/>
    </row>
    <row r="7" spans="1:68" s="2" customFormat="1" ht="36.75" customHeight="1">
      <c r="A7" s="674"/>
      <c r="B7" s="674"/>
      <c r="C7" s="674"/>
      <c r="D7" s="674"/>
      <c r="E7" s="680" t="s">
        <v>3</v>
      </c>
      <c r="F7" s="680" t="s">
        <v>12</v>
      </c>
      <c r="G7" s="680" t="s">
        <v>11</v>
      </c>
      <c r="H7" s="681"/>
      <c r="I7" s="681"/>
      <c r="J7" s="681"/>
      <c r="K7" s="681"/>
      <c r="L7" s="681"/>
      <c r="M7" s="681"/>
      <c r="N7" s="681"/>
      <c r="O7" s="674"/>
      <c r="P7" s="681"/>
      <c r="Q7" s="681"/>
      <c r="R7" s="1064"/>
      <c r="S7" s="674"/>
      <c r="T7" s="677"/>
      <c r="U7" s="677"/>
      <c r="V7" s="677"/>
      <c r="W7" s="677"/>
      <c r="X7" s="798"/>
      <c r="Y7" s="799"/>
      <c r="Z7" s="799"/>
      <c r="AA7" s="1067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676"/>
      <c r="AQ7" s="674"/>
      <c r="AR7" s="676" t="s">
        <v>28</v>
      </c>
      <c r="AS7" s="676" t="s">
        <v>29</v>
      </c>
      <c r="AT7" s="676" t="s">
        <v>122</v>
      </c>
      <c r="AU7" s="676"/>
      <c r="AV7" s="676"/>
      <c r="AW7" s="676" t="s">
        <v>31</v>
      </c>
      <c r="AX7" s="676" t="s">
        <v>7</v>
      </c>
      <c r="AY7" s="676" t="s">
        <v>32</v>
      </c>
      <c r="AZ7" s="676" t="s">
        <v>33</v>
      </c>
      <c r="BA7" s="676" t="s">
        <v>34</v>
      </c>
      <c r="BB7" s="676"/>
      <c r="BC7" s="676" t="s">
        <v>120</v>
      </c>
      <c r="BD7" s="676"/>
      <c r="BE7" s="676"/>
      <c r="BF7" s="676"/>
      <c r="BG7" s="676"/>
      <c r="BH7" s="704"/>
      <c r="BI7" s="704"/>
      <c r="BJ7" s="811"/>
      <c r="BK7" s="691"/>
      <c r="BL7" s="691"/>
      <c r="BM7" s="691"/>
      <c r="BN7" s="691"/>
      <c r="BO7" s="691"/>
      <c r="BP7" s="691"/>
    </row>
    <row r="8" spans="1:68" s="2" customFormat="1" ht="26.25" customHeight="1">
      <c r="A8" s="674"/>
      <c r="B8" s="674"/>
      <c r="C8" s="674"/>
      <c r="D8" s="674"/>
      <c r="E8" s="680"/>
      <c r="F8" s="680"/>
      <c r="G8" s="680"/>
      <c r="H8" s="681"/>
      <c r="I8" s="681"/>
      <c r="J8" s="681"/>
      <c r="K8" s="681"/>
      <c r="L8" s="681"/>
      <c r="M8" s="681"/>
      <c r="N8" s="681"/>
      <c r="O8" s="674"/>
      <c r="P8" s="681"/>
      <c r="Q8" s="681"/>
      <c r="R8" s="1064"/>
      <c r="S8" s="674"/>
      <c r="T8" s="677"/>
      <c r="U8" s="677"/>
      <c r="V8" s="677"/>
      <c r="W8" s="677"/>
      <c r="X8" s="676" t="s">
        <v>9</v>
      </c>
      <c r="Y8" s="676" t="s">
        <v>17</v>
      </c>
      <c r="Z8" s="676" t="s">
        <v>18</v>
      </c>
      <c r="AA8" s="793" t="s">
        <v>98</v>
      </c>
      <c r="AB8" s="676" t="s">
        <v>36</v>
      </c>
      <c r="AC8" s="676" t="s">
        <v>37</v>
      </c>
      <c r="AD8" s="676" t="s">
        <v>38</v>
      </c>
      <c r="AE8" s="676" t="s">
        <v>39</v>
      </c>
      <c r="AF8" s="676" t="s">
        <v>422</v>
      </c>
      <c r="AG8" s="676" t="s">
        <v>14</v>
      </c>
      <c r="AH8" s="676" t="s">
        <v>41</v>
      </c>
      <c r="AI8" s="676" t="s">
        <v>15</v>
      </c>
      <c r="AJ8" s="676" t="s">
        <v>42</v>
      </c>
      <c r="AK8" s="676" t="s">
        <v>43</v>
      </c>
      <c r="AL8" s="676" t="s">
        <v>418</v>
      </c>
      <c r="AM8" s="676" t="s">
        <v>354</v>
      </c>
      <c r="AN8" s="676" t="s">
        <v>45</v>
      </c>
      <c r="AO8" s="676" t="s">
        <v>46</v>
      </c>
      <c r="AP8" s="676" t="s">
        <v>47</v>
      </c>
      <c r="AQ8" s="674"/>
      <c r="AR8" s="676"/>
      <c r="AS8" s="676"/>
      <c r="AT8" s="676" t="s">
        <v>48</v>
      </c>
      <c r="AU8" s="676" t="s">
        <v>49</v>
      </c>
      <c r="AV8" s="676" t="s">
        <v>50</v>
      </c>
      <c r="AW8" s="676"/>
      <c r="AX8" s="676"/>
      <c r="AY8" s="676"/>
      <c r="AZ8" s="676"/>
      <c r="BA8" s="676"/>
      <c r="BB8" s="676"/>
      <c r="BC8" s="676"/>
      <c r="BD8" s="676"/>
      <c r="BE8" s="676"/>
      <c r="BF8" s="676"/>
      <c r="BG8" s="676"/>
      <c r="BH8" s="704"/>
      <c r="BI8" s="704"/>
      <c r="BJ8" s="811"/>
      <c r="BK8" s="691"/>
      <c r="BL8" s="691"/>
      <c r="BM8" s="691"/>
      <c r="BN8" s="691"/>
      <c r="BO8" s="691"/>
      <c r="BP8" s="691"/>
    </row>
    <row r="9" spans="1:68" s="2" customFormat="1" ht="50.25" customHeight="1">
      <c r="A9" s="716"/>
      <c r="B9" s="716"/>
      <c r="C9" s="716"/>
      <c r="D9" s="716"/>
      <c r="E9" s="680"/>
      <c r="F9" s="680"/>
      <c r="G9" s="680"/>
      <c r="H9" s="681"/>
      <c r="I9" s="681"/>
      <c r="J9" s="681"/>
      <c r="K9" s="681"/>
      <c r="L9" s="681"/>
      <c r="M9" s="681"/>
      <c r="N9" s="681"/>
      <c r="O9" s="716"/>
      <c r="P9" s="681"/>
      <c r="Q9" s="681"/>
      <c r="R9" s="1065"/>
      <c r="S9" s="716"/>
      <c r="T9" s="677"/>
      <c r="U9" s="677"/>
      <c r="V9" s="677"/>
      <c r="W9" s="677"/>
      <c r="X9" s="676"/>
      <c r="Y9" s="676"/>
      <c r="Z9" s="676"/>
      <c r="AA9" s="794"/>
      <c r="AB9" s="676"/>
      <c r="AC9" s="676"/>
      <c r="AD9" s="676"/>
      <c r="AE9" s="676"/>
      <c r="AF9" s="676"/>
      <c r="AG9" s="676"/>
      <c r="AH9" s="676"/>
      <c r="AI9" s="676"/>
      <c r="AJ9" s="676"/>
      <c r="AK9" s="676"/>
      <c r="AL9" s="676"/>
      <c r="AM9" s="676"/>
      <c r="AN9" s="676"/>
      <c r="AO9" s="676"/>
      <c r="AP9" s="676"/>
      <c r="AQ9" s="674"/>
      <c r="AR9" s="676"/>
      <c r="AS9" s="676"/>
      <c r="AT9" s="676"/>
      <c r="AU9" s="676"/>
      <c r="AV9" s="676"/>
      <c r="AW9" s="676"/>
      <c r="AX9" s="676"/>
      <c r="AY9" s="676"/>
      <c r="AZ9" s="676"/>
      <c r="BA9" s="676"/>
      <c r="BB9" s="676"/>
      <c r="BC9" s="676"/>
      <c r="BD9" s="676"/>
      <c r="BE9" s="676"/>
      <c r="BF9" s="676"/>
      <c r="BG9" s="676"/>
      <c r="BH9" s="704"/>
      <c r="BI9" s="704"/>
      <c r="BJ9" s="811"/>
      <c r="BK9" s="691"/>
      <c r="BL9" s="691"/>
      <c r="BM9" s="691"/>
      <c r="BN9" s="691"/>
      <c r="BO9" s="691"/>
      <c r="BP9" s="691"/>
    </row>
    <row r="10" spans="1:68" ht="123" customHeight="1">
      <c r="A10" s="52" t="s">
        <v>160</v>
      </c>
      <c r="B10" s="52" t="s">
        <v>161</v>
      </c>
      <c r="C10" s="313">
        <v>20705</v>
      </c>
      <c r="D10" s="339" t="s">
        <v>141</v>
      </c>
      <c r="E10" s="53">
        <f>ROUND((T10+U10)/C10,3)</f>
        <v>1638.1320000000001</v>
      </c>
      <c r="F10" s="53">
        <f>ROUND((V10+W10)/C10,3)</f>
        <v>490.178</v>
      </c>
      <c r="G10" s="53">
        <f>E10+F10</f>
        <v>2128.31</v>
      </c>
      <c r="H10" s="53">
        <f>ROUND((AJ10-AI10)/C10,3)</f>
        <v>11.429</v>
      </c>
      <c r="I10" s="53">
        <f>ROUND((AK10+AM10+AN10+AO10+AP10)/C10,3)</f>
        <v>44.567</v>
      </c>
      <c r="J10" s="53">
        <f>ROUND((AR10+AS10+AT10+AU10+AV10)/C10,3)</f>
        <v>15.904999999999999</v>
      </c>
      <c r="K10" s="53">
        <f>ROUND((AY10+AZ10+BC10)/C10,3)</f>
        <v>5.4029999999999996</v>
      </c>
      <c r="L10" s="54">
        <f>ROUND(BD10/C10,3)</f>
        <v>0</v>
      </c>
      <c r="M10" s="54">
        <f>ROUND(BE10/C10,3)</f>
        <v>96.031000000000006</v>
      </c>
      <c r="N10" s="54">
        <f>ROUND(AI10/C10,3)</f>
        <v>5.43</v>
      </c>
      <c r="O10" s="53">
        <f>N10+M10+L10+K10+J10+I10+H10+G10</f>
        <v>2307.0749999999998</v>
      </c>
      <c r="P10" s="53">
        <f>ROUND((X10+Y10+Z10)/C10,3)</f>
        <v>61.92</v>
      </c>
      <c r="Q10" s="53">
        <f>ROUND(AW10/C10,3)</f>
        <v>0.76200000000000001</v>
      </c>
      <c r="R10" s="66">
        <f>O10+P10+Q10</f>
        <v>2369.7570000000001</v>
      </c>
      <c r="S10" s="339" t="s">
        <v>141</v>
      </c>
      <c r="T10" s="604">
        <v>25993579.16</v>
      </c>
      <c r="U10" s="604">
        <v>7923933.9800000004</v>
      </c>
      <c r="V10" s="604">
        <v>7795032.7699999996</v>
      </c>
      <c r="W10" s="604">
        <v>2354099.9</v>
      </c>
      <c r="X10" s="15">
        <v>645188</v>
      </c>
      <c r="Y10" s="15">
        <v>582800</v>
      </c>
      <c r="Z10" s="15">
        <v>54060</v>
      </c>
      <c r="AA10" s="15">
        <v>3048</v>
      </c>
      <c r="AB10" s="607">
        <v>60000</v>
      </c>
      <c r="AC10" s="607"/>
      <c r="AD10" s="607">
        <v>15000</v>
      </c>
      <c r="AE10" s="607">
        <v>23426</v>
      </c>
      <c r="AF10" s="607">
        <v>14805</v>
      </c>
      <c r="AG10" s="607"/>
      <c r="AH10" s="607">
        <v>123399.99</v>
      </c>
      <c r="AI10" s="607">
        <v>112422</v>
      </c>
      <c r="AJ10" s="58">
        <f>AB10+AC10+AD10+AE10+AF10+AG10+AI10+AH10</f>
        <v>349052.99</v>
      </c>
      <c r="AK10" s="607">
        <v>60710.02</v>
      </c>
      <c r="AL10" s="607">
        <v>4370</v>
      </c>
      <c r="AM10" s="607">
        <v>131299.45000000001</v>
      </c>
      <c r="AN10" s="607">
        <v>389699.35</v>
      </c>
      <c r="AO10" s="607">
        <v>341060.71</v>
      </c>
      <c r="AP10" s="10">
        <v>0</v>
      </c>
      <c r="AQ10" s="339" t="s">
        <v>141</v>
      </c>
      <c r="AR10" s="15"/>
      <c r="AS10" s="15"/>
      <c r="AT10" s="602">
        <v>157802.97</v>
      </c>
      <c r="AU10" s="602"/>
      <c r="AV10" s="602">
        <v>171514</v>
      </c>
      <c r="AW10" s="602">
        <v>15787</v>
      </c>
      <c r="AX10" s="602"/>
      <c r="AY10" s="602">
        <v>101992.36</v>
      </c>
      <c r="AZ10" s="603">
        <v>9870</v>
      </c>
      <c r="BA10" s="15"/>
      <c r="BB10" s="15"/>
      <c r="BC10" s="15"/>
      <c r="BD10" s="58"/>
      <c r="BE10" s="15">
        <v>1988325</v>
      </c>
      <c r="BF10" s="58"/>
      <c r="BG10" s="58">
        <f>T10+U10+V10+W10+X10+Y10+Z10+AB10+AC10+AD10+AE10+AF10+AG10+AH10+AI10+AK10+AM10+AN10+AO10+AP10+AR10+AS10+AT10+AU10+AV10++AW10+AX10+AY10+AZ10+BA10+BB10+BC10+BD10+BE10+BF10</f>
        <v>49065807.660000004</v>
      </c>
      <c r="BH10" s="61"/>
      <c r="BI10" s="61"/>
      <c r="BJ10" s="67">
        <f>ROUND(BG10/C10,2)</f>
        <v>2369.7600000000002</v>
      </c>
      <c r="BK10" s="220">
        <f>T10+V10</f>
        <v>33788611.93</v>
      </c>
      <c r="BL10" s="220">
        <f>U10+W10</f>
        <v>10278033.880000001</v>
      </c>
      <c r="BM10" s="220">
        <f>X10+Y10+Z10+AA10</f>
        <v>1285096</v>
      </c>
      <c r="BN10" s="220">
        <f>BE10</f>
        <v>1988325</v>
      </c>
      <c r="BO10" s="220">
        <f>AZ10+AY10+AW10+AV10+AT10++AP10+AO10+AN10+AM10+AL10+AK10+AJ10</f>
        <v>1733158.85</v>
      </c>
      <c r="BP10" s="220">
        <f>BK10+BL10+BM10+BN10+BO10</f>
        <v>49073225.660000004</v>
      </c>
    </row>
    <row r="12" spans="1:68" ht="23.25">
      <c r="AP12" s="337"/>
      <c r="AQ12" s="338"/>
    </row>
    <row r="13" spans="1:68" ht="23.25">
      <c r="V13" s="86"/>
      <c r="AP13" s="337"/>
      <c r="AQ13" s="338"/>
    </row>
    <row r="14" spans="1:68" ht="23.25" hidden="1" outlineLevel="1">
      <c r="D14" s="3" t="s">
        <v>379</v>
      </c>
      <c r="E14" s="3">
        <v>2016</v>
      </c>
      <c r="F14" s="3">
        <v>2017</v>
      </c>
      <c r="AP14" s="337"/>
      <c r="AQ14" s="338"/>
    </row>
    <row r="15" spans="1:68" ht="23.25" hidden="1" outlineLevel="1">
      <c r="D15" s="3" t="s">
        <v>380</v>
      </c>
      <c r="E15" s="27">
        <v>12423600</v>
      </c>
      <c r="F15" s="27">
        <f>ROUND(E15*0.787,0)</f>
        <v>9777373</v>
      </c>
      <c r="AP15" s="335"/>
      <c r="AQ15" s="338"/>
      <c r="AR15" s="338"/>
      <c r="AS15" s="338"/>
    </row>
    <row r="16" spans="1:68" ht="23.25" hidden="1" outlineLevel="1">
      <c r="D16" s="3" t="s">
        <v>381</v>
      </c>
      <c r="E16" s="27">
        <v>7693300</v>
      </c>
      <c r="F16" s="27">
        <f>ROUND(E16*0.787,0)</f>
        <v>6054627</v>
      </c>
      <c r="AP16" s="335"/>
      <c r="AQ16" s="336"/>
    </row>
    <row r="17" spans="4:43" ht="23.25" hidden="1" outlineLevel="1">
      <c r="D17" s="3" t="s">
        <v>382</v>
      </c>
      <c r="E17" s="27">
        <v>2480300</v>
      </c>
      <c r="F17" s="27">
        <f>ROUND(E17*0.787,0)</f>
        <v>1951996</v>
      </c>
      <c r="AP17" s="335"/>
      <c r="AQ17" s="336"/>
    </row>
    <row r="18" spans="4:43" ht="23.25" hidden="1" outlineLevel="1">
      <c r="D18" s="3" t="s">
        <v>383</v>
      </c>
      <c r="E18" s="27">
        <f>E19-E15-E16-E17</f>
        <v>7094697</v>
      </c>
      <c r="F18" s="27">
        <f>F19-F15-F16-F17</f>
        <v>5586491.5</v>
      </c>
      <c r="AP18" s="335"/>
      <c r="AQ18" s="336"/>
    </row>
    <row r="19" spans="4:43" hidden="1" outlineLevel="1">
      <c r="E19" s="27">
        <v>29691897</v>
      </c>
      <c r="F19" s="27">
        <v>23370487.5</v>
      </c>
    </row>
    <row r="20" spans="4:43" hidden="1" outlineLevel="1">
      <c r="E20" s="27"/>
      <c r="F20" s="27"/>
    </row>
    <row r="21" spans="4:43" hidden="1" outlineLevel="1">
      <c r="E21" s="27"/>
      <c r="F21" s="27">
        <f>F15+F16+F17+F18</f>
        <v>23370487.5</v>
      </c>
    </row>
    <row r="22" spans="4:43" hidden="1" outlineLevel="1"/>
    <row r="23" spans="4:43" hidden="1" outlineLevel="1"/>
    <row r="24" spans="4:43" collapsed="1"/>
  </sheetData>
  <mergeCells count="95">
    <mergeCell ref="BK5:BK9"/>
    <mergeCell ref="BF4:BF9"/>
    <mergeCell ref="BG4:BG9"/>
    <mergeCell ref="BL5:BL9"/>
    <mergeCell ref="AY7:AY9"/>
    <mergeCell ref="BC5:BC6"/>
    <mergeCell ref="BC7:BC9"/>
    <mergeCell ref="AY5:BB5"/>
    <mergeCell ref="AZ7:AZ9"/>
    <mergeCell ref="BA6:BB6"/>
    <mergeCell ref="BM5:BM9"/>
    <mergeCell ref="BN5:BN9"/>
    <mergeCell ref="A1:R1"/>
    <mergeCell ref="BI1:BP1"/>
    <mergeCell ref="BK3:BP3"/>
    <mergeCell ref="BK4:BP4"/>
    <mergeCell ref="AY4:BC4"/>
    <mergeCell ref="BD4:BD9"/>
    <mergeCell ref="H5:H9"/>
    <mergeCell ref="BH4:BH9"/>
    <mergeCell ref="BJ4:BJ9"/>
    <mergeCell ref="BO5:BO9"/>
    <mergeCell ref="BP5:BP9"/>
    <mergeCell ref="P5:P9"/>
    <mergeCell ref="Q5:Q9"/>
    <mergeCell ref="BA7:BB9"/>
    <mergeCell ref="A3:A9"/>
    <mergeCell ref="B3:B9"/>
    <mergeCell ref="C3:C9"/>
    <mergeCell ref="AP8:AP9"/>
    <mergeCell ref="AQ4:AQ9"/>
    <mergeCell ref="AA8:AA9"/>
    <mergeCell ref="AI8:AI9"/>
    <mergeCell ref="AM8:AM9"/>
    <mergeCell ref="AK8:AK9"/>
    <mergeCell ref="T4:W4"/>
    <mergeCell ref="D3:D9"/>
    <mergeCell ref="AH8:AH9"/>
    <mergeCell ref="L5:L9"/>
    <mergeCell ref="N5:N9"/>
    <mergeCell ref="AB6:AJ7"/>
    <mergeCell ref="W6:W9"/>
    <mergeCell ref="AK6:AP7"/>
    <mergeCell ref="AR7:AR9"/>
    <mergeCell ref="AS7:AS9"/>
    <mergeCell ref="AN8:AN9"/>
    <mergeCell ref="AW7:AW9"/>
    <mergeCell ref="AU8:AU9"/>
    <mergeCell ref="AV8:AV9"/>
    <mergeCell ref="AT7:AV7"/>
    <mergeCell ref="AR6:AV6"/>
    <mergeCell ref="AT8:AT9"/>
    <mergeCell ref="E5:G5"/>
    <mergeCell ref="E4:N4"/>
    <mergeCell ref="E6:G6"/>
    <mergeCell ref="E3:N3"/>
    <mergeCell ref="T6:T9"/>
    <mergeCell ref="T3:BJ3"/>
    <mergeCell ref="I5:I9"/>
    <mergeCell ref="BI4:BI9"/>
    <mergeCell ref="BE4:BE9"/>
    <mergeCell ref="X4:AP4"/>
    <mergeCell ref="AR4:AX4"/>
    <mergeCell ref="AB8:AB9"/>
    <mergeCell ref="AX7:AX9"/>
    <mergeCell ref="AR5:AX5"/>
    <mergeCell ref="X5:AA5"/>
    <mergeCell ref="AL8:AL9"/>
    <mergeCell ref="A2:R2"/>
    <mergeCell ref="AK5:AP5"/>
    <mergeCell ref="P3:Q4"/>
    <mergeCell ref="R3:R9"/>
    <mergeCell ref="M5:M9"/>
    <mergeCell ref="V6:V9"/>
    <mergeCell ref="S3:S9"/>
    <mergeCell ref="T5:W5"/>
    <mergeCell ref="G7:G9"/>
    <mergeCell ref="U6:U9"/>
    <mergeCell ref="AO8:AO9"/>
    <mergeCell ref="K5:K9"/>
    <mergeCell ref="E7:E9"/>
    <mergeCell ref="F7:F9"/>
    <mergeCell ref="J5:J9"/>
    <mergeCell ref="O3:O9"/>
    <mergeCell ref="X6:AA7"/>
    <mergeCell ref="AB5:AJ5"/>
    <mergeCell ref="Y8:Y9"/>
    <mergeCell ref="Z8:Z9"/>
    <mergeCell ref="AG8:AG9"/>
    <mergeCell ref="AE8:AE9"/>
    <mergeCell ref="X8:X9"/>
    <mergeCell ref="AD8:AD9"/>
    <mergeCell ref="AF8:AF9"/>
    <mergeCell ref="AJ8:AJ9"/>
    <mergeCell ref="AC8:AC9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1">
    <tabColor rgb="FFFF0000"/>
  </sheetPr>
  <dimension ref="A1:BL29"/>
  <sheetViews>
    <sheetView topLeftCell="AI1" zoomScale="80" zoomScaleNormal="80" workbookViewId="0">
      <pane ySplit="9" topLeftCell="A10" activePane="bottomLeft" state="frozen"/>
      <selection pane="bottomLeft" activeCell="BL10" sqref="BL10"/>
    </sheetView>
  </sheetViews>
  <sheetFormatPr defaultRowHeight="12.75"/>
  <cols>
    <col min="1" max="1" width="48.28515625" style="3" customWidth="1"/>
    <col min="2" max="2" width="21.140625" style="3" customWidth="1"/>
    <col min="3" max="3" width="9.140625" style="3"/>
    <col min="4" max="4" width="15.85546875" style="3" customWidth="1"/>
    <col min="5" max="5" width="11.85546875" style="3" customWidth="1"/>
    <col min="6" max="6" width="11" style="3" customWidth="1"/>
    <col min="7" max="7" width="11.42578125" style="3" customWidth="1"/>
    <col min="8" max="8" width="9" style="3" customWidth="1"/>
    <col min="9" max="9" width="9.42578125" style="3" customWidth="1"/>
    <col min="10" max="14" width="9" style="3" customWidth="1"/>
    <col min="15" max="15" width="12.140625" style="3" customWidth="1"/>
    <col min="16" max="16" width="11.28515625" style="3" customWidth="1"/>
    <col min="17" max="17" width="9.28515625" style="3" customWidth="1"/>
    <col min="18" max="18" width="12.28515625" style="3" customWidth="1"/>
    <col min="19" max="19" width="22.140625" style="3" customWidth="1"/>
    <col min="20" max="20" width="15" style="17" customWidth="1"/>
    <col min="21" max="21" width="14.140625" style="17" customWidth="1"/>
    <col min="22" max="22" width="14.85546875" style="17" customWidth="1"/>
    <col min="23" max="23" width="13.140625" style="17" customWidth="1"/>
    <col min="24" max="24" width="11" style="17" customWidth="1"/>
    <col min="25" max="25" width="5" style="17" customWidth="1"/>
    <col min="26" max="26" width="11" style="17" customWidth="1"/>
    <col min="27" max="27" width="9.7109375" style="17" customWidth="1"/>
    <col min="28" max="28" width="8.7109375" style="17" customWidth="1"/>
    <col min="29" max="29" width="10.140625" style="17" customWidth="1"/>
    <col min="30" max="30" width="9.28515625" style="17" customWidth="1"/>
    <col min="31" max="32" width="10.140625" style="17" hidden="1" customWidth="1"/>
    <col min="33" max="33" width="10.7109375" style="17" customWidth="1"/>
    <col min="34" max="34" width="10.5703125" style="17" customWidth="1"/>
    <col min="35" max="35" width="9.85546875" style="17" customWidth="1"/>
    <col min="36" max="36" width="11.5703125" style="17" customWidth="1"/>
    <col min="37" max="37" width="13.85546875" style="17" customWidth="1"/>
    <col min="38" max="38" width="14.85546875" style="17" customWidth="1"/>
    <col min="39" max="39" width="14.42578125" style="17" customWidth="1"/>
    <col min="40" max="40" width="10.5703125" style="17" customWidth="1"/>
    <col min="41" max="41" width="11.85546875" style="17" customWidth="1"/>
    <col min="42" max="42" width="17.85546875" style="3" customWidth="1"/>
    <col min="43" max="43" width="11.5703125" style="17" customWidth="1"/>
    <col min="44" max="44" width="12.28515625" style="17" customWidth="1"/>
    <col min="45" max="45" width="9" style="17" customWidth="1"/>
    <col min="46" max="47" width="11.140625" style="17" customWidth="1"/>
    <col min="48" max="48" width="12.5703125" style="17" customWidth="1"/>
    <col min="49" max="49" width="6.28515625" style="17" customWidth="1"/>
    <col min="50" max="50" width="11.28515625" style="17" customWidth="1"/>
    <col min="51" max="51" width="10.42578125" style="5" customWidth="1"/>
    <col min="52" max="52" width="9.28515625" style="5" customWidth="1"/>
    <col min="53" max="53" width="4.42578125" style="5" customWidth="1"/>
    <col min="54" max="54" width="9" style="5" customWidth="1"/>
    <col min="55" max="55" width="11.140625" style="5" hidden="1" customWidth="1"/>
    <col min="56" max="56" width="12.42578125" style="5" hidden="1" customWidth="1"/>
    <col min="57" max="57" width="9.28515625" style="5" hidden="1" customWidth="1"/>
    <col min="58" max="58" width="15.85546875" style="18" customWidth="1"/>
    <col min="59" max="59" width="11" style="16" customWidth="1"/>
    <col min="60" max="60" width="15.5703125" style="1" customWidth="1"/>
    <col min="61" max="61" width="16.7109375" style="1" customWidth="1"/>
    <col min="62" max="62" width="14.5703125" style="1" customWidth="1"/>
    <col min="63" max="63" width="13" style="1" customWidth="1"/>
    <col min="64" max="64" width="16.42578125" style="1" customWidth="1"/>
  </cols>
  <sheetData>
    <row r="1" spans="1:64" ht="27" customHeight="1">
      <c r="A1" s="1061" t="s">
        <v>400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AX1" s="769"/>
      <c r="AY1" s="719"/>
      <c r="AZ1" s="719"/>
      <c r="BA1" s="719"/>
      <c r="BB1" s="719"/>
      <c r="BC1" s="719"/>
      <c r="BD1" s="719"/>
      <c r="BE1" s="719"/>
      <c r="BF1" s="719"/>
      <c r="BG1" s="719"/>
    </row>
    <row r="2" spans="1:64" ht="54" customHeight="1">
      <c r="A2" s="1073" t="s">
        <v>357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6"/>
      <c r="AQ2" s="19"/>
      <c r="AR2" s="19"/>
      <c r="AS2" s="19"/>
      <c r="AT2" s="19"/>
      <c r="AU2" s="19"/>
      <c r="AV2" s="19"/>
      <c r="AW2" s="19"/>
      <c r="AX2" s="19"/>
    </row>
    <row r="3" spans="1:64" ht="28.5" customHeight="1">
      <c r="A3" s="713" t="s">
        <v>0</v>
      </c>
      <c r="B3" s="713" t="s">
        <v>2</v>
      </c>
      <c r="C3" s="713" t="s">
        <v>285</v>
      </c>
      <c r="D3" s="673" t="s">
        <v>68</v>
      </c>
      <c r="E3" s="722" t="s">
        <v>287</v>
      </c>
      <c r="F3" s="723"/>
      <c r="G3" s="723"/>
      <c r="H3" s="723"/>
      <c r="I3" s="723"/>
      <c r="J3" s="723"/>
      <c r="K3" s="723"/>
      <c r="L3" s="723"/>
      <c r="M3" s="723"/>
      <c r="N3" s="723"/>
      <c r="O3" s="675" t="s">
        <v>298</v>
      </c>
      <c r="P3" s="724" t="s">
        <v>56</v>
      </c>
      <c r="Q3" s="725"/>
      <c r="R3" s="1063" t="s">
        <v>286</v>
      </c>
      <c r="S3" s="673" t="s">
        <v>68</v>
      </c>
      <c r="T3" s="682" t="s">
        <v>288</v>
      </c>
      <c r="U3" s="683"/>
      <c r="V3" s="683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  <c r="BA3" s="684"/>
      <c r="BB3" s="684"/>
      <c r="BC3" s="684"/>
      <c r="BD3" s="684"/>
      <c r="BE3" s="684"/>
      <c r="BF3" s="684"/>
      <c r="BG3" s="685"/>
      <c r="BH3" s="815"/>
      <c r="BI3" s="815"/>
      <c r="BJ3" s="815"/>
      <c r="BK3" s="815"/>
      <c r="BL3" s="815"/>
    </row>
    <row r="4" spans="1:64" s="1" customFormat="1" ht="44.25" customHeight="1">
      <c r="A4" s="674"/>
      <c r="B4" s="674"/>
      <c r="C4" s="674"/>
      <c r="D4" s="674"/>
      <c r="E4" s="680" t="s">
        <v>297</v>
      </c>
      <c r="F4" s="681"/>
      <c r="G4" s="681"/>
      <c r="H4" s="681"/>
      <c r="I4" s="681"/>
      <c r="J4" s="681"/>
      <c r="K4" s="681"/>
      <c r="L4" s="681"/>
      <c r="M4" s="681"/>
      <c r="N4" s="681"/>
      <c r="O4" s="674"/>
      <c r="P4" s="726"/>
      <c r="Q4" s="727"/>
      <c r="R4" s="1064"/>
      <c r="S4" s="674"/>
      <c r="T4" s="676" t="s">
        <v>62</v>
      </c>
      <c r="U4" s="676"/>
      <c r="V4" s="676"/>
      <c r="W4" s="677"/>
      <c r="X4" s="688" t="s">
        <v>289</v>
      </c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73" t="s">
        <v>68</v>
      </c>
      <c r="AQ4" s="693" t="s">
        <v>19</v>
      </c>
      <c r="AR4" s="768"/>
      <c r="AS4" s="768"/>
      <c r="AT4" s="768"/>
      <c r="AU4" s="768"/>
      <c r="AV4" s="768"/>
      <c r="AW4" s="694"/>
      <c r="AX4" s="676" t="s">
        <v>19</v>
      </c>
      <c r="AY4" s="676"/>
      <c r="AZ4" s="676"/>
      <c r="BA4" s="676"/>
      <c r="BB4" s="676"/>
      <c r="BC4" s="676" t="s">
        <v>20</v>
      </c>
      <c r="BD4" s="676" t="s">
        <v>13</v>
      </c>
      <c r="BE4" s="676" t="s">
        <v>21</v>
      </c>
      <c r="BF4" s="676" t="s">
        <v>22</v>
      </c>
      <c r="BG4" s="1069" t="s">
        <v>299</v>
      </c>
      <c r="BH4" s="1070" t="s">
        <v>129</v>
      </c>
      <c r="BI4" s="921"/>
      <c r="BJ4" s="921"/>
      <c r="BK4" s="921"/>
      <c r="BL4" s="922"/>
    </row>
    <row r="5" spans="1:64" s="2" customFormat="1" ht="36.75" customHeight="1">
      <c r="A5" s="674"/>
      <c r="B5" s="674"/>
      <c r="C5" s="674"/>
      <c r="D5" s="674"/>
      <c r="E5" s="680" t="s">
        <v>53</v>
      </c>
      <c r="F5" s="681"/>
      <c r="G5" s="681"/>
      <c r="H5" s="680" t="s">
        <v>27</v>
      </c>
      <c r="I5" s="680" t="s">
        <v>10</v>
      </c>
      <c r="J5" s="680" t="s">
        <v>5</v>
      </c>
      <c r="K5" s="680" t="s">
        <v>51</v>
      </c>
      <c r="L5" s="680" t="s">
        <v>20</v>
      </c>
      <c r="M5" s="680" t="s">
        <v>13</v>
      </c>
      <c r="N5" s="680" t="s">
        <v>21</v>
      </c>
      <c r="O5" s="674"/>
      <c r="P5" s="680" t="s">
        <v>16</v>
      </c>
      <c r="Q5" s="680" t="s">
        <v>52</v>
      </c>
      <c r="R5" s="1064"/>
      <c r="S5" s="674"/>
      <c r="T5" s="676" t="s">
        <v>66</v>
      </c>
      <c r="U5" s="677"/>
      <c r="V5" s="677"/>
      <c r="W5" s="677"/>
      <c r="X5" s="676" t="s">
        <v>63</v>
      </c>
      <c r="Y5" s="676"/>
      <c r="Z5" s="676"/>
      <c r="AA5" s="676"/>
      <c r="AB5" s="692">
        <v>340</v>
      </c>
      <c r="AC5" s="692"/>
      <c r="AD5" s="692"/>
      <c r="AE5" s="692"/>
      <c r="AF5" s="692"/>
      <c r="AG5" s="692"/>
      <c r="AH5" s="692"/>
      <c r="AI5" s="692"/>
      <c r="AJ5" s="692"/>
      <c r="AK5" s="676" t="s">
        <v>4</v>
      </c>
      <c r="AL5" s="676"/>
      <c r="AM5" s="676"/>
      <c r="AN5" s="676"/>
      <c r="AO5" s="676"/>
      <c r="AP5" s="674"/>
      <c r="AQ5" s="676" t="s">
        <v>5</v>
      </c>
      <c r="AR5" s="676"/>
      <c r="AS5" s="676"/>
      <c r="AT5" s="676"/>
      <c r="AU5" s="676"/>
      <c r="AV5" s="676"/>
      <c r="AW5" s="676"/>
      <c r="AX5" s="676" t="s">
        <v>6</v>
      </c>
      <c r="AY5" s="717"/>
      <c r="AZ5" s="677"/>
      <c r="BA5" s="677"/>
      <c r="BB5" s="1074">
        <v>290</v>
      </c>
      <c r="BC5" s="676"/>
      <c r="BD5" s="676"/>
      <c r="BE5" s="676"/>
      <c r="BF5" s="676"/>
      <c r="BG5" s="1069"/>
      <c r="BH5" s="877">
        <v>2110</v>
      </c>
      <c r="BI5" s="877">
        <v>2130</v>
      </c>
      <c r="BJ5" s="877">
        <v>2230</v>
      </c>
      <c r="BK5" s="877">
        <v>7660</v>
      </c>
      <c r="BL5" s="877" t="s">
        <v>130</v>
      </c>
    </row>
    <row r="6" spans="1:64" s="2" customFormat="1" ht="52.5" customHeight="1">
      <c r="A6" s="674"/>
      <c r="B6" s="674"/>
      <c r="C6" s="674"/>
      <c r="D6" s="674"/>
      <c r="E6" s="680" t="s">
        <v>26</v>
      </c>
      <c r="F6" s="680"/>
      <c r="G6" s="680"/>
      <c r="H6" s="681"/>
      <c r="I6" s="681"/>
      <c r="J6" s="681"/>
      <c r="K6" s="681"/>
      <c r="L6" s="681"/>
      <c r="M6" s="681"/>
      <c r="N6" s="681"/>
      <c r="O6" s="674"/>
      <c r="P6" s="681"/>
      <c r="Q6" s="681"/>
      <c r="R6" s="1064"/>
      <c r="S6" s="674"/>
      <c r="T6" s="676" t="s">
        <v>3</v>
      </c>
      <c r="U6" s="676" t="s">
        <v>64</v>
      </c>
      <c r="V6" s="676" t="s">
        <v>12</v>
      </c>
      <c r="W6" s="676" t="s">
        <v>65</v>
      </c>
      <c r="X6" s="676" t="s">
        <v>16</v>
      </c>
      <c r="Y6" s="676"/>
      <c r="Z6" s="676"/>
      <c r="AA6" s="676"/>
      <c r="AB6" s="676" t="s">
        <v>27</v>
      </c>
      <c r="AC6" s="676"/>
      <c r="AD6" s="676"/>
      <c r="AE6" s="676"/>
      <c r="AF6" s="676"/>
      <c r="AG6" s="676"/>
      <c r="AH6" s="676"/>
      <c r="AI6" s="676"/>
      <c r="AJ6" s="676"/>
      <c r="AK6" s="676" t="s">
        <v>10</v>
      </c>
      <c r="AL6" s="676"/>
      <c r="AM6" s="676"/>
      <c r="AN6" s="676"/>
      <c r="AO6" s="676"/>
      <c r="AP6" s="674"/>
      <c r="AQ6" s="692">
        <v>225</v>
      </c>
      <c r="AR6" s="692"/>
      <c r="AS6" s="692"/>
      <c r="AT6" s="692"/>
      <c r="AU6" s="692"/>
      <c r="AV6" s="20">
        <v>290</v>
      </c>
      <c r="AW6" s="20">
        <v>224</v>
      </c>
      <c r="AX6" s="20" t="s">
        <v>4</v>
      </c>
      <c r="AY6" s="20" t="s">
        <v>4</v>
      </c>
      <c r="AZ6" s="676" t="s">
        <v>4</v>
      </c>
      <c r="BA6" s="676"/>
      <c r="BB6" s="1075"/>
      <c r="BC6" s="676"/>
      <c r="BD6" s="676"/>
      <c r="BE6" s="676"/>
      <c r="BF6" s="676"/>
      <c r="BG6" s="1069"/>
      <c r="BH6" s="877"/>
      <c r="BI6" s="877"/>
      <c r="BJ6" s="877"/>
      <c r="BK6" s="877"/>
      <c r="BL6" s="877"/>
    </row>
    <row r="7" spans="1:64" s="2" customFormat="1" ht="50.25" customHeight="1">
      <c r="A7" s="674"/>
      <c r="B7" s="674"/>
      <c r="C7" s="674"/>
      <c r="D7" s="674"/>
      <c r="E7" s="680" t="s">
        <v>3</v>
      </c>
      <c r="F7" s="680" t="s">
        <v>12</v>
      </c>
      <c r="G7" s="680" t="s">
        <v>11</v>
      </c>
      <c r="H7" s="681"/>
      <c r="I7" s="681"/>
      <c r="J7" s="681"/>
      <c r="K7" s="681"/>
      <c r="L7" s="681"/>
      <c r="M7" s="681"/>
      <c r="N7" s="681"/>
      <c r="O7" s="674"/>
      <c r="P7" s="681"/>
      <c r="Q7" s="681"/>
      <c r="R7" s="1064"/>
      <c r="S7" s="674"/>
      <c r="T7" s="677"/>
      <c r="U7" s="677"/>
      <c r="V7" s="677"/>
      <c r="W7" s="677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674"/>
      <c r="AQ7" s="676" t="s">
        <v>28</v>
      </c>
      <c r="AR7" s="676" t="s">
        <v>29</v>
      </c>
      <c r="AS7" s="676" t="s">
        <v>122</v>
      </c>
      <c r="AT7" s="676"/>
      <c r="AU7" s="676"/>
      <c r="AV7" s="676" t="s">
        <v>31</v>
      </c>
      <c r="AW7" s="676" t="s">
        <v>7</v>
      </c>
      <c r="AX7" s="676" t="s">
        <v>32</v>
      </c>
      <c r="AY7" s="676" t="s">
        <v>33</v>
      </c>
      <c r="AZ7" s="676" t="s">
        <v>34</v>
      </c>
      <c r="BA7" s="676"/>
      <c r="BB7" s="793" t="s">
        <v>143</v>
      </c>
      <c r="BC7" s="676"/>
      <c r="BD7" s="676"/>
      <c r="BE7" s="676"/>
      <c r="BF7" s="676"/>
      <c r="BG7" s="1069"/>
      <c r="BH7" s="877"/>
      <c r="BI7" s="877"/>
      <c r="BJ7" s="877"/>
      <c r="BK7" s="877"/>
      <c r="BL7" s="877"/>
    </row>
    <row r="8" spans="1:64" s="2" customFormat="1" ht="26.25" customHeight="1">
      <c r="A8" s="674"/>
      <c r="B8" s="674"/>
      <c r="C8" s="674"/>
      <c r="D8" s="674"/>
      <c r="E8" s="680"/>
      <c r="F8" s="680"/>
      <c r="G8" s="680"/>
      <c r="H8" s="681"/>
      <c r="I8" s="681"/>
      <c r="J8" s="681"/>
      <c r="K8" s="681"/>
      <c r="L8" s="681"/>
      <c r="M8" s="681"/>
      <c r="N8" s="681"/>
      <c r="O8" s="674"/>
      <c r="P8" s="681"/>
      <c r="Q8" s="681"/>
      <c r="R8" s="1064"/>
      <c r="S8" s="674"/>
      <c r="T8" s="677"/>
      <c r="U8" s="677"/>
      <c r="V8" s="677"/>
      <c r="W8" s="677"/>
      <c r="X8" s="676" t="s">
        <v>9</v>
      </c>
      <c r="Y8" s="676" t="s">
        <v>98</v>
      </c>
      <c r="Z8" s="676" t="s">
        <v>17</v>
      </c>
      <c r="AA8" s="676" t="s">
        <v>18</v>
      </c>
      <c r="AB8" s="676" t="s">
        <v>36</v>
      </c>
      <c r="AC8" s="676" t="s">
        <v>37</v>
      </c>
      <c r="AD8" s="676" t="s">
        <v>349</v>
      </c>
      <c r="AE8" s="676" t="s">
        <v>39</v>
      </c>
      <c r="AF8" s="676" t="s">
        <v>40</v>
      </c>
      <c r="AG8" s="676" t="s">
        <v>14</v>
      </c>
      <c r="AH8" s="676" t="s">
        <v>41</v>
      </c>
      <c r="AI8" s="676" t="s">
        <v>15</v>
      </c>
      <c r="AJ8" s="676" t="s">
        <v>42</v>
      </c>
      <c r="AK8" s="676" t="s">
        <v>43</v>
      </c>
      <c r="AL8" s="676" t="s">
        <v>44</v>
      </c>
      <c r="AM8" s="676" t="s">
        <v>45</v>
      </c>
      <c r="AN8" s="676" t="s">
        <v>46</v>
      </c>
      <c r="AO8" s="676" t="s">
        <v>47</v>
      </c>
      <c r="AP8" s="674"/>
      <c r="AQ8" s="676"/>
      <c r="AR8" s="676"/>
      <c r="AS8" s="676" t="s">
        <v>48</v>
      </c>
      <c r="AT8" s="676" t="s">
        <v>49</v>
      </c>
      <c r="AU8" s="676" t="s">
        <v>50</v>
      </c>
      <c r="AV8" s="676"/>
      <c r="AW8" s="676"/>
      <c r="AX8" s="676"/>
      <c r="AY8" s="676"/>
      <c r="AZ8" s="676"/>
      <c r="BA8" s="676"/>
      <c r="BB8" s="810"/>
      <c r="BC8" s="676"/>
      <c r="BD8" s="676"/>
      <c r="BE8" s="676"/>
      <c r="BF8" s="676"/>
      <c r="BG8" s="1069"/>
      <c r="BH8" s="877"/>
      <c r="BI8" s="877"/>
      <c r="BJ8" s="877"/>
      <c r="BK8" s="877"/>
      <c r="BL8" s="877"/>
    </row>
    <row r="9" spans="1:64" s="2" customFormat="1" ht="20.25" customHeight="1">
      <c r="A9" s="716"/>
      <c r="B9" s="716"/>
      <c r="C9" s="716"/>
      <c r="D9" s="716"/>
      <c r="E9" s="680"/>
      <c r="F9" s="680"/>
      <c r="G9" s="680"/>
      <c r="H9" s="681"/>
      <c r="I9" s="681"/>
      <c r="J9" s="681"/>
      <c r="K9" s="681"/>
      <c r="L9" s="681"/>
      <c r="M9" s="681"/>
      <c r="N9" s="681"/>
      <c r="O9" s="716"/>
      <c r="P9" s="681"/>
      <c r="Q9" s="681"/>
      <c r="R9" s="1065"/>
      <c r="S9" s="716"/>
      <c r="T9" s="677"/>
      <c r="U9" s="677"/>
      <c r="V9" s="677"/>
      <c r="W9" s="677"/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6"/>
      <c r="AL9" s="676"/>
      <c r="AM9" s="676"/>
      <c r="AN9" s="676"/>
      <c r="AO9" s="676"/>
      <c r="AP9" s="674"/>
      <c r="AQ9" s="676"/>
      <c r="AR9" s="676"/>
      <c r="AS9" s="676"/>
      <c r="AT9" s="676"/>
      <c r="AU9" s="676"/>
      <c r="AV9" s="676"/>
      <c r="AW9" s="676"/>
      <c r="AX9" s="676"/>
      <c r="AY9" s="676"/>
      <c r="AZ9" s="676"/>
      <c r="BA9" s="676"/>
      <c r="BB9" s="794"/>
      <c r="BC9" s="676"/>
      <c r="BD9" s="676"/>
      <c r="BE9" s="676"/>
      <c r="BF9" s="676"/>
      <c r="BG9" s="1069"/>
      <c r="BH9" s="877"/>
      <c r="BI9" s="877"/>
      <c r="BJ9" s="877"/>
      <c r="BK9" s="877"/>
      <c r="BL9" s="877"/>
    </row>
    <row r="10" spans="1:64" s="1" customFormat="1" ht="47.25" customHeight="1">
      <c r="A10" s="59" t="s">
        <v>358</v>
      </c>
      <c r="B10" s="29"/>
      <c r="C10" s="31"/>
      <c r="D10" s="45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1"/>
      <c r="P10" s="41"/>
      <c r="Q10" s="41"/>
      <c r="R10" s="40"/>
      <c r="S10" s="45"/>
      <c r="T10" s="24">
        <f>T11+T12+T13</f>
        <v>12164942.859999999</v>
      </c>
      <c r="U10" s="24">
        <f>U11+U12+U13</f>
        <v>3628361.89</v>
      </c>
      <c r="V10" s="24">
        <f>V11+V12+V13</f>
        <v>3247321</v>
      </c>
      <c r="W10" s="24">
        <f>W11+W12+W13</f>
        <v>968546</v>
      </c>
      <c r="X10" s="31">
        <f t="shared" ref="X10:AI10" si="0">X11+X12+X13</f>
        <v>110145.4</v>
      </c>
      <c r="Y10" s="31">
        <f t="shared" si="0"/>
        <v>0</v>
      </c>
      <c r="Z10" s="31">
        <f t="shared" si="0"/>
        <v>117053</v>
      </c>
      <c r="AA10" s="31">
        <f t="shared" si="0"/>
        <v>5531</v>
      </c>
      <c r="AB10" s="31">
        <f t="shared" si="0"/>
        <v>0</v>
      </c>
      <c r="AC10" s="31">
        <f t="shared" si="0"/>
        <v>0</v>
      </c>
      <c r="AD10" s="31">
        <f t="shared" si="0"/>
        <v>20701</v>
      </c>
      <c r="AE10" s="31">
        <f t="shared" si="0"/>
        <v>0</v>
      </c>
      <c r="AF10" s="31">
        <f t="shared" si="0"/>
        <v>0</v>
      </c>
      <c r="AG10" s="31">
        <f t="shared" si="0"/>
        <v>33122</v>
      </c>
      <c r="AH10" s="31">
        <f t="shared" si="0"/>
        <v>1145</v>
      </c>
      <c r="AI10" s="31">
        <f t="shared" si="0"/>
        <v>0</v>
      </c>
      <c r="AJ10" s="21">
        <f>AB10+AC10+AD10+AE10+AF10+AG10+AI10+AH10</f>
        <v>54968</v>
      </c>
      <c r="AK10" s="31">
        <f>AK11+AK12+AK13</f>
        <v>193963</v>
      </c>
      <c r="AL10" s="31">
        <f>AL11+AL12+AL13</f>
        <v>1665</v>
      </c>
      <c r="AM10" s="31">
        <f>AM11+AM12+AM13</f>
        <v>131459</v>
      </c>
      <c r="AN10" s="31">
        <f>AN11+AN12+AN13</f>
        <v>12420</v>
      </c>
      <c r="AO10" s="31">
        <f>AO11+AO12+AO13</f>
        <v>4555</v>
      </c>
      <c r="AP10" s="31"/>
      <c r="AQ10" s="31">
        <f t="shared" ref="AQ10:BE10" si="1">AQ11+AQ12+AQ13</f>
        <v>0</v>
      </c>
      <c r="AR10" s="31">
        <f t="shared" si="1"/>
        <v>6961</v>
      </c>
      <c r="AS10" s="31">
        <f t="shared" si="1"/>
        <v>52108</v>
      </c>
      <c r="AT10" s="31">
        <f t="shared" si="1"/>
        <v>30657.7</v>
      </c>
      <c r="AU10" s="31">
        <f t="shared" si="1"/>
        <v>0</v>
      </c>
      <c r="AV10" s="31">
        <f t="shared" si="1"/>
        <v>0</v>
      </c>
      <c r="AW10" s="31">
        <f t="shared" si="1"/>
        <v>0</v>
      </c>
      <c r="AX10" s="31">
        <f t="shared" si="1"/>
        <v>43562</v>
      </c>
      <c r="AY10" s="31">
        <f t="shared" si="1"/>
        <v>7459</v>
      </c>
      <c r="AZ10" s="31">
        <f t="shared" si="1"/>
        <v>24542</v>
      </c>
      <c r="BA10" s="31">
        <f t="shared" si="1"/>
        <v>0</v>
      </c>
      <c r="BB10" s="31">
        <f t="shared" si="1"/>
        <v>2498</v>
      </c>
      <c r="BC10" s="31">
        <f t="shared" si="1"/>
        <v>0</v>
      </c>
      <c r="BD10" s="31">
        <f t="shared" si="1"/>
        <v>0</v>
      </c>
      <c r="BE10" s="31">
        <f t="shared" si="1"/>
        <v>0</v>
      </c>
      <c r="BF10" s="24">
        <f>T10+U10+V10+W10+X10+Z10+AA10+AJ10+AK10+AL10+AM10+AN10+AQ10+AR10+AS10+AT10+AU10+AV10+AW10+AX10+AY10+AZ10+BA10+BB10+BC10+BD10+BE10+AO10</f>
        <v>20808718.849999998</v>
      </c>
      <c r="BG10" s="50" t="s">
        <v>274</v>
      </c>
      <c r="BH10" s="294">
        <f>BH11+BH12+BH13</f>
        <v>15412263.859999999</v>
      </c>
      <c r="BI10" s="294">
        <f>BI11+BI12+BI13</f>
        <v>4596907.8900000006</v>
      </c>
      <c r="BJ10" s="294">
        <f>BJ11+BJ12+BJ13</f>
        <v>232729.4</v>
      </c>
      <c r="BK10" s="294">
        <f>BK11+BK12+BK13</f>
        <v>566817.69999999995</v>
      </c>
      <c r="BL10" s="294">
        <f>BL11+BL12+BL13</f>
        <v>20808718.850000001</v>
      </c>
    </row>
    <row r="11" spans="1:64" ht="60" customHeight="1">
      <c r="A11" s="49" t="s">
        <v>103</v>
      </c>
      <c r="B11" s="49" t="s">
        <v>89</v>
      </c>
      <c r="C11" s="325">
        <v>1190</v>
      </c>
      <c r="D11" s="1071" t="s">
        <v>106</v>
      </c>
      <c r="E11" s="290">
        <f>ROUND((T11+U11)/C11,3)</f>
        <v>1402.1869999999999</v>
      </c>
      <c r="F11" s="290">
        <f>ROUND((V11+W11)/C11,2)</f>
        <v>0</v>
      </c>
      <c r="G11" s="290">
        <f>E11+F11</f>
        <v>1402.1869999999999</v>
      </c>
      <c r="H11" s="290">
        <f>ROUND(AJ11/C11,3)</f>
        <v>0.69599999999999995</v>
      </c>
      <c r="I11" s="290">
        <f>ROUND((AK11+AL11+AM11+AN11+AO11)/C11,3)</f>
        <v>3.7309999999999999</v>
      </c>
      <c r="J11" s="290">
        <f>ROUND((AQ11+AR11+AS11+AT11+AU11)/C11,2)</f>
        <v>0</v>
      </c>
      <c r="K11" s="290">
        <f>ROUND((AX11+AY11)/C11,2)</f>
        <v>0</v>
      </c>
      <c r="L11" s="291">
        <f>ROUND(BC11/C11,2)</f>
        <v>0</v>
      </c>
      <c r="M11" s="291">
        <f>ROUND(BD11/C11,2)</f>
        <v>0</v>
      </c>
      <c r="N11" s="291">
        <f>ROUND(BE11/C11,2)</f>
        <v>0</v>
      </c>
      <c r="O11" s="290">
        <f>N11+M11+L11+K11+J11+I11+H11+G11</f>
        <v>1406.6139999999998</v>
      </c>
      <c r="P11" s="290">
        <f>ROUND((X11+Z11+AA11)/C11,2)</f>
        <v>0</v>
      </c>
      <c r="Q11" s="290">
        <f>ROUND(AV11/C11,2)</f>
        <v>0</v>
      </c>
      <c r="R11" s="292">
        <f>O11+P11+Q11</f>
        <v>1406.6139999999998</v>
      </c>
      <c r="S11" s="1072" t="s">
        <v>106</v>
      </c>
      <c r="T11" s="570">
        <v>1285260</v>
      </c>
      <c r="U11" s="570">
        <f>ROUND(T11*0.29826,0)</f>
        <v>383342</v>
      </c>
      <c r="V11" s="570"/>
      <c r="W11" s="570"/>
      <c r="X11" s="318"/>
      <c r="Y11" s="318"/>
      <c r="Z11" s="318"/>
      <c r="AA11" s="318"/>
      <c r="AB11" s="319"/>
      <c r="AC11" s="319"/>
      <c r="AD11" s="319">
        <v>828</v>
      </c>
      <c r="AE11" s="319"/>
      <c r="AF11" s="319"/>
      <c r="AG11" s="319"/>
      <c r="AH11" s="319"/>
      <c r="AI11" s="319"/>
      <c r="AJ11" s="318">
        <f>AB11+AC11+AD11+AE11+AF11+AG11+AI11+AH11</f>
        <v>828</v>
      </c>
      <c r="AK11" s="318"/>
      <c r="AL11" s="318"/>
      <c r="AM11" s="318">
        <v>4440</v>
      </c>
      <c r="AN11" s="318"/>
      <c r="AO11" s="318"/>
      <c r="AP11" s="1071" t="s">
        <v>106</v>
      </c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43"/>
      <c r="BD11" s="43"/>
      <c r="BE11" s="43"/>
      <c r="BF11" s="58">
        <f>T11+U11+V11+W11+X11+Z11+AA11+AJ11+AK11+AL11+AM11+AN11+AQ11+AR11+AS11+AT11+AU11+AV11+AW11+AX11+AY11+AZ11+BA11+BB11+BC11+BD11+BE11+AO11</f>
        <v>1673870</v>
      </c>
      <c r="BG11" s="67">
        <f>ROUND(BF11/C11,2)</f>
        <v>1406.61</v>
      </c>
      <c r="BH11" s="437">
        <f t="shared" ref="BH11:BI13" si="2">T11+V11</f>
        <v>1285260</v>
      </c>
      <c r="BI11" s="437">
        <f t="shared" si="2"/>
        <v>383342</v>
      </c>
      <c r="BJ11" s="437">
        <f>X11+Z11+AA11</f>
        <v>0</v>
      </c>
      <c r="BK11" s="437">
        <f>AJ11+AK11+AL11+AM11+AN11+AO11+AQ11+AS11+AT11+AX11+AY11+AZ11+BB11</f>
        <v>5268</v>
      </c>
      <c r="BL11" s="437">
        <f>BH11+BI11+BJ11+BK11</f>
        <v>1673870</v>
      </c>
    </row>
    <row r="12" spans="1:64" ht="102" customHeight="1">
      <c r="A12" s="49" t="s">
        <v>104</v>
      </c>
      <c r="B12" s="49" t="s">
        <v>152</v>
      </c>
      <c r="C12" s="289">
        <v>1045</v>
      </c>
      <c r="D12" s="1071"/>
      <c r="E12" s="290">
        <f>ROUND((T12+U12)/C12,3)</f>
        <v>10709.032999999999</v>
      </c>
      <c r="F12" s="290">
        <f>ROUND((V12+W12)/C12,3)</f>
        <v>3557.2579999999998</v>
      </c>
      <c r="G12" s="290">
        <f>E12+F12</f>
        <v>14266.290999999999</v>
      </c>
      <c r="H12" s="290">
        <f>ROUND(AJ12/C12,2)</f>
        <v>50.87</v>
      </c>
      <c r="I12" s="290">
        <f>ROUND((AK12+AL12+AM12+AN12+AO12)/C12,3)</f>
        <v>319.04899999999998</v>
      </c>
      <c r="J12" s="290">
        <f>ROUND((AQ12+AR12+AS12+AT12+AU12)/C12,3)</f>
        <v>85.863</v>
      </c>
      <c r="K12" s="290">
        <f>ROUND((AX12+AY12+AZ12+BB12)/C12,3)</f>
        <v>74.7</v>
      </c>
      <c r="L12" s="291">
        <f>ROUND(BC12/C12,2)</f>
        <v>0</v>
      </c>
      <c r="M12" s="291">
        <f>ROUND(BD12/C12,2)</f>
        <v>0</v>
      </c>
      <c r="N12" s="291">
        <f>ROUND(BE12/C12,2)</f>
        <v>0</v>
      </c>
      <c r="O12" s="290">
        <f>N12+M12+L12+K12+J12+I12+H12+G12</f>
        <v>14796.772999999999</v>
      </c>
      <c r="P12" s="290">
        <f>ROUND((X12+Z12+AA12)/C12,3)</f>
        <v>222.708</v>
      </c>
      <c r="Q12" s="290">
        <f>ROUND(AV12/C12,2)</f>
        <v>0</v>
      </c>
      <c r="R12" s="292">
        <f>O12+P12+Q12</f>
        <v>15019.481</v>
      </c>
      <c r="S12" s="1072"/>
      <c r="T12" s="570">
        <f>8328975+290942.86</f>
        <v>8619917.8599999994</v>
      </c>
      <c r="U12" s="570">
        <v>2571021.89</v>
      </c>
      <c r="V12" s="570">
        <v>2863321</v>
      </c>
      <c r="W12" s="570">
        <f t="shared" ref="U12:W13" si="3">ROUND(V12*0.29826,0)</f>
        <v>854014</v>
      </c>
      <c r="X12" s="320">
        <v>110145.4</v>
      </c>
      <c r="Y12" s="318"/>
      <c r="Z12" s="320">
        <v>117053</v>
      </c>
      <c r="AA12" s="320">
        <v>5531</v>
      </c>
      <c r="AB12" s="319"/>
      <c r="AC12" s="319"/>
      <c r="AD12" s="319">
        <v>19045</v>
      </c>
      <c r="AE12" s="319"/>
      <c r="AF12" s="319"/>
      <c r="AG12" s="319">
        <v>33122</v>
      </c>
      <c r="AH12" s="319">
        <v>995</v>
      </c>
      <c r="AI12" s="319"/>
      <c r="AJ12" s="318">
        <f>AB12+AC12+AD12+AE12+AF12+AG12+AI12+AH12</f>
        <v>53162</v>
      </c>
      <c r="AK12" s="318">
        <v>193963</v>
      </c>
      <c r="AL12" s="318">
        <v>1665</v>
      </c>
      <c r="AM12" s="318">
        <f>112803+8000</f>
        <v>120803</v>
      </c>
      <c r="AN12" s="318">
        <v>12420</v>
      </c>
      <c r="AO12" s="318">
        <v>4555</v>
      </c>
      <c r="AP12" s="1071"/>
      <c r="AQ12" s="318"/>
      <c r="AR12" s="318">
        <v>6961</v>
      </c>
      <c r="AS12" s="318">
        <v>52108</v>
      </c>
      <c r="AT12" s="318">
        <v>30657.7</v>
      </c>
      <c r="AU12" s="318"/>
      <c r="AV12" s="318"/>
      <c r="AW12" s="318"/>
      <c r="AX12" s="318">
        <v>43562</v>
      </c>
      <c r="AY12" s="318">
        <v>7459</v>
      </c>
      <c r="AZ12" s="318">
        <v>24542</v>
      </c>
      <c r="BA12" s="318"/>
      <c r="BB12" s="318">
        <v>2498</v>
      </c>
      <c r="BC12" s="293"/>
      <c r="BD12" s="43"/>
      <c r="BE12" s="43"/>
      <c r="BF12" s="58">
        <f>T12+U12+V12+W12+X12+Z12+AA12+AJ12+AK12+AL12+AM12+AN12+AQ12+AR12+AS12+AT12+AU12+AV12+AW12+AX12+AY12+AZ12+BA12+BB12+BC12+BD12+BE12+AO12</f>
        <v>15695359.85</v>
      </c>
      <c r="BG12" s="67">
        <f>ROUND(BF12/C12,2)</f>
        <v>15019.48</v>
      </c>
      <c r="BH12" s="437">
        <f t="shared" si="2"/>
        <v>11483238.859999999</v>
      </c>
      <c r="BI12" s="437">
        <f t="shared" si="2"/>
        <v>3425035.89</v>
      </c>
      <c r="BJ12" s="437">
        <f>X12+Z12+AA12</f>
        <v>232729.4</v>
      </c>
      <c r="BK12" s="437">
        <f>AJ12+AK12+AL12+AM12+AN12+AO12+AQ12+AS12+AT12+AX12+AY12+AZ12+BB12+AR12</f>
        <v>554355.69999999995</v>
      </c>
      <c r="BL12" s="437">
        <f>BH12+BI12+BJ12+BK12</f>
        <v>15695359.85</v>
      </c>
    </row>
    <row r="13" spans="1:64" ht="56.25" customHeight="1">
      <c r="A13" s="49" t="s">
        <v>105</v>
      </c>
      <c r="B13" s="49" t="s">
        <v>153</v>
      </c>
      <c r="C13" s="289">
        <v>247</v>
      </c>
      <c r="D13" s="1071"/>
      <c r="E13" s="290">
        <f>ROUND((T13+U13)/C13,4)</f>
        <v>11877.583000000001</v>
      </c>
      <c r="F13" s="290">
        <f>ROUND((V13+W13)/C13,2)</f>
        <v>2018.35</v>
      </c>
      <c r="G13" s="290">
        <f>E13+F13</f>
        <v>13895.933000000001</v>
      </c>
      <c r="H13" s="290">
        <f>ROUND(AJ13/C13,4)</f>
        <v>3.9594999999999998</v>
      </c>
      <c r="I13" s="290">
        <f>ROUND((AK13+AL13+AM13+AN13+AO13)/C13,4)</f>
        <v>25.166</v>
      </c>
      <c r="J13" s="290">
        <f>ROUND((AQ13+AR13+AS13+AT13+AU13)/C13,2)</f>
        <v>0</v>
      </c>
      <c r="K13" s="290">
        <f>ROUND((AX13+AY13+AZ13+BB13)/C13,2)</f>
        <v>0</v>
      </c>
      <c r="L13" s="291">
        <f>ROUND(BC13/C13,2)</f>
        <v>0</v>
      </c>
      <c r="M13" s="291">
        <f>ROUND(BD13/C13,2)</f>
        <v>0</v>
      </c>
      <c r="N13" s="291">
        <f>ROUND(BE13/C13,2)</f>
        <v>0</v>
      </c>
      <c r="O13" s="290">
        <f>N13+M13+L13+K13+J13+I13+H13+G13</f>
        <v>13925.058500000001</v>
      </c>
      <c r="P13" s="290">
        <f>ROUND((X13+Z13+AA13)/C13,2)</f>
        <v>0</v>
      </c>
      <c r="Q13" s="290">
        <f>ROUND(AV13/C13,2)</f>
        <v>0</v>
      </c>
      <c r="R13" s="292">
        <f>O13+P13+Q13</f>
        <v>13925.058500000001</v>
      </c>
      <c r="S13" s="1072"/>
      <c r="T13" s="570">
        <f>2643765-384000</f>
        <v>2259765</v>
      </c>
      <c r="U13" s="570">
        <f t="shared" si="3"/>
        <v>673998</v>
      </c>
      <c r="V13" s="570">
        <v>384000</v>
      </c>
      <c r="W13" s="570">
        <f t="shared" si="3"/>
        <v>114532</v>
      </c>
      <c r="X13" s="316"/>
      <c r="Y13" s="316"/>
      <c r="Z13" s="316"/>
      <c r="AA13" s="316"/>
      <c r="AB13" s="319"/>
      <c r="AC13" s="319"/>
      <c r="AD13" s="319">
        <v>828</v>
      </c>
      <c r="AE13" s="319"/>
      <c r="AF13" s="319"/>
      <c r="AG13" s="319"/>
      <c r="AH13" s="319">
        <v>150</v>
      </c>
      <c r="AI13" s="319"/>
      <c r="AJ13" s="318">
        <f>AB13+AC13+AD13+AE13+AF13+AG13+AI13+AH13</f>
        <v>978</v>
      </c>
      <c r="AK13" s="318"/>
      <c r="AL13" s="318"/>
      <c r="AM13" s="318">
        <v>6216</v>
      </c>
      <c r="AN13" s="318"/>
      <c r="AO13" s="318"/>
      <c r="AP13" s="1071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43"/>
      <c r="BD13" s="43"/>
      <c r="BE13" s="43"/>
      <c r="BF13" s="58">
        <f>T13+U13+V13+W13+X13+Z13+AA13+AJ13+AK13+AL13+AM13+AN13+AQ13+AR13+AS13+AT13+AU13+AV13+AW13+AX13+AY13+AZ13+BA13+BB13+BC13+BD13+BE13+AO13</f>
        <v>3439489</v>
      </c>
      <c r="BG13" s="67">
        <f>ROUND(BF13/C13,2)</f>
        <v>13925.06</v>
      </c>
      <c r="BH13" s="437">
        <f t="shared" si="2"/>
        <v>2643765</v>
      </c>
      <c r="BI13" s="437">
        <f t="shared" si="2"/>
        <v>788530</v>
      </c>
      <c r="BJ13" s="437">
        <f>X13+Z13+AA13</f>
        <v>0</v>
      </c>
      <c r="BK13" s="437">
        <f>AJ13+AK13+AL13+AM13+AN13+AO13+AQ13+AS13+AT13+AX13+AY13+AZ13+BB13</f>
        <v>7194</v>
      </c>
      <c r="BL13" s="437">
        <f>BH13+BI13+BJ13+BK13</f>
        <v>3439489</v>
      </c>
    </row>
    <row r="17" spans="20:22">
      <c r="T17" s="27"/>
      <c r="U17" s="569"/>
    </row>
    <row r="29" spans="20:22">
      <c r="V29" s="17">
        <v>2863321</v>
      </c>
    </row>
  </sheetData>
  <mergeCells count="94">
    <mergeCell ref="AX1:BG1"/>
    <mergeCell ref="T4:W4"/>
    <mergeCell ref="A1:R1"/>
    <mergeCell ref="A2:R2"/>
    <mergeCell ref="H5:H9"/>
    <mergeCell ref="I5:I9"/>
    <mergeCell ref="BB5:BB6"/>
    <mergeCell ref="E5:G5"/>
    <mergeCell ref="E4:N4"/>
    <mergeCell ref="E6:G6"/>
    <mergeCell ref="A3:A9"/>
    <mergeCell ref="B3:B9"/>
    <mergeCell ref="C3:C9"/>
    <mergeCell ref="U6:U9"/>
    <mergeCell ref="V6:V9"/>
    <mergeCell ref="Q5:Q9"/>
    <mergeCell ref="AP11:AP13"/>
    <mergeCell ref="AM8:AM9"/>
    <mergeCell ref="AO8:AO9"/>
    <mergeCell ref="AP4:AP9"/>
    <mergeCell ref="X4:AO4"/>
    <mergeCell ref="AI8:AI9"/>
    <mergeCell ref="AJ8:AJ9"/>
    <mergeCell ref="AD8:AD9"/>
    <mergeCell ref="AH8:AH9"/>
    <mergeCell ref="AB5:AJ5"/>
    <mergeCell ref="AK8:AK9"/>
    <mergeCell ref="D11:D13"/>
    <mergeCell ref="S11:S13"/>
    <mergeCell ref="D3:D9"/>
    <mergeCell ref="G7:G9"/>
    <mergeCell ref="O3:O9"/>
    <mergeCell ref="E7:E9"/>
    <mergeCell ref="F7:F9"/>
    <mergeCell ref="E3:N3"/>
    <mergeCell ref="M5:M9"/>
    <mergeCell ref="S3:S9"/>
    <mergeCell ref="P3:Q4"/>
    <mergeCell ref="J5:J9"/>
    <mergeCell ref="K5:K9"/>
    <mergeCell ref="L5:L9"/>
    <mergeCell ref="P5:P9"/>
    <mergeCell ref="N5:N9"/>
    <mergeCell ref="R3:R9"/>
    <mergeCell ref="T6:T9"/>
    <mergeCell ref="X8:X9"/>
    <mergeCell ref="AN8:AN9"/>
    <mergeCell ref="AL8:AL9"/>
    <mergeCell ref="T5:W5"/>
    <mergeCell ref="W6:W9"/>
    <mergeCell ref="AB6:AJ7"/>
    <mergeCell ref="AG8:AG9"/>
    <mergeCell ref="AF8:AF9"/>
    <mergeCell ref="AB8:AB9"/>
    <mergeCell ref="BH3:BL3"/>
    <mergeCell ref="BG4:BG9"/>
    <mergeCell ref="BF4:BF9"/>
    <mergeCell ref="BH5:BH9"/>
    <mergeCell ref="AV7:AV9"/>
    <mergeCell ref="BH4:BL4"/>
    <mergeCell ref="T3:BG3"/>
    <mergeCell ref="AY7:AY9"/>
    <mergeCell ref="AZ7:BA9"/>
    <mergeCell ref="AR7:AR9"/>
    <mergeCell ref="AE8:AE9"/>
    <mergeCell ref="AK5:AO5"/>
    <mergeCell ref="AK6:AO7"/>
    <mergeCell ref="AA8:AA9"/>
    <mergeCell ref="X5:AA5"/>
    <mergeCell ref="X6:AA7"/>
    <mergeCell ref="AQ5:AW5"/>
    <mergeCell ref="Y8:Y9"/>
    <mergeCell ref="AX4:BB4"/>
    <mergeCell ref="BD4:BD9"/>
    <mergeCell ref="AX7:AX9"/>
    <mergeCell ref="AT8:AT9"/>
    <mergeCell ref="AW7:AW9"/>
    <mergeCell ref="AC8:AC9"/>
    <mergeCell ref="AQ7:AQ9"/>
    <mergeCell ref="Z8:Z9"/>
    <mergeCell ref="AQ4:AW4"/>
    <mergeCell ref="AS8:AS9"/>
    <mergeCell ref="AS7:AU7"/>
    <mergeCell ref="AU8:AU9"/>
    <mergeCell ref="AQ6:AU6"/>
    <mergeCell ref="BC4:BC9"/>
    <mergeCell ref="AZ6:BA6"/>
    <mergeCell ref="BL5:BL9"/>
    <mergeCell ref="BI5:BI9"/>
    <mergeCell ref="BJ5:BJ9"/>
    <mergeCell ref="BE4:BE9"/>
    <mergeCell ref="BB7:BB9"/>
    <mergeCell ref="AX5:BA5"/>
    <mergeCell ref="BK5:BK9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7">
    <tabColor rgb="FFFF0000"/>
  </sheetPr>
  <dimension ref="A1:BR10"/>
  <sheetViews>
    <sheetView zoomScale="80" zoomScaleNormal="80" workbookViewId="0">
      <pane ySplit="9" topLeftCell="A10" activePane="bottomLeft" state="frozen"/>
      <selection pane="bottomLeft" activeCell="BN10" sqref="BN10"/>
    </sheetView>
  </sheetViews>
  <sheetFormatPr defaultRowHeight="12.75"/>
  <cols>
    <col min="1" max="1" width="34.7109375" style="3" customWidth="1"/>
    <col min="2" max="2" width="12.7109375" style="3" customWidth="1"/>
    <col min="3" max="3" width="13" style="3" customWidth="1"/>
    <col min="4" max="4" width="19.85546875" style="3" customWidth="1"/>
    <col min="5" max="5" width="13" style="3" customWidth="1"/>
    <col min="6" max="6" width="10.7109375" style="3" customWidth="1"/>
    <col min="7" max="7" width="10.5703125" style="3" customWidth="1"/>
    <col min="8" max="8" width="12.28515625" style="3" customWidth="1"/>
    <col min="9" max="9" width="10.5703125" style="3" customWidth="1"/>
    <col min="10" max="10" width="12.28515625" style="3" customWidth="1"/>
    <col min="11" max="11" width="12" style="3" customWidth="1"/>
    <col min="12" max="12" width="8.85546875" style="3" customWidth="1"/>
    <col min="13" max="13" width="9" style="3" customWidth="1"/>
    <col min="14" max="17" width="10.85546875" style="3" customWidth="1"/>
    <col min="18" max="18" width="15.5703125" style="3" customWidth="1"/>
    <col min="19" max="19" width="20.42578125" style="3" customWidth="1"/>
    <col min="20" max="20" width="13.85546875" style="17" customWidth="1"/>
    <col min="21" max="21" width="13.140625" style="17" customWidth="1"/>
    <col min="22" max="22" width="13.5703125" style="17" customWidth="1"/>
    <col min="23" max="23" width="13.42578125" style="17" customWidth="1"/>
    <col min="24" max="25" width="11" style="17" customWidth="1"/>
    <col min="26" max="26" width="13" style="17" customWidth="1"/>
    <col min="27" max="27" width="9.42578125" style="17" customWidth="1"/>
    <col min="28" max="28" width="8.7109375" style="17" customWidth="1"/>
    <col min="29" max="29" width="10.140625" style="17" customWidth="1"/>
    <col min="30" max="30" width="10.5703125" style="17" customWidth="1"/>
    <col min="31" max="31" width="9.42578125" style="17" customWidth="1"/>
    <col min="32" max="32" width="7.85546875" style="17" hidden="1" customWidth="1"/>
    <col min="33" max="33" width="9.42578125" style="17" customWidth="1"/>
    <col min="34" max="34" width="10.5703125" style="17" customWidth="1"/>
    <col min="35" max="35" width="9.85546875" style="17" hidden="1" customWidth="1"/>
    <col min="36" max="36" width="10.7109375" style="17" customWidth="1"/>
    <col min="37" max="37" width="11.85546875" style="17" customWidth="1"/>
    <col min="38" max="38" width="9.5703125" style="17" customWidth="1"/>
    <col min="39" max="39" width="11.28515625" style="17" customWidth="1"/>
    <col min="40" max="40" width="8.140625" style="17" customWidth="1"/>
    <col min="41" max="41" width="9.28515625" style="17" customWidth="1"/>
    <col min="42" max="42" width="23.42578125" style="3" customWidth="1"/>
    <col min="43" max="43" width="11.5703125" style="17" customWidth="1"/>
    <col min="44" max="44" width="12.28515625" style="17" customWidth="1"/>
    <col min="45" max="45" width="10.140625" style="17" customWidth="1"/>
    <col min="46" max="47" width="11.140625" style="17" customWidth="1"/>
    <col min="48" max="48" width="10.85546875" style="17" customWidth="1"/>
    <col min="49" max="49" width="8.28515625" style="17" customWidth="1"/>
    <col min="50" max="50" width="9.7109375" style="17" customWidth="1"/>
    <col min="51" max="51" width="8.28515625" style="5" customWidth="1"/>
    <col min="52" max="53" width="9.28515625" style="5" hidden="1" customWidth="1"/>
    <col min="54" max="54" width="9.28515625" style="5" customWidth="1"/>
    <col min="55" max="55" width="11.140625" style="5" customWidth="1"/>
    <col min="56" max="56" width="8.85546875" style="5" customWidth="1"/>
    <col min="57" max="57" width="9.28515625" style="5" customWidth="1"/>
    <col min="58" max="58" width="14.42578125" style="18" customWidth="1"/>
    <col min="59" max="59" width="0" style="16" hidden="1" customWidth="1"/>
    <col min="60" max="60" width="13.5703125" style="16" hidden="1" customWidth="1"/>
    <col min="61" max="61" width="11" style="16" customWidth="1"/>
    <col min="62" max="62" width="12.28515625" customWidth="1"/>
    <col min="63" max="63" width="13" customWidth="1"/>
    <col min="64" max="64" width="10.7109375" customWidth="1"/>
    <col min="65" max="65" width="11" customWidth="1"/>
    <col min="66" max="66" width="12.7109375" customWidth="1"/>
    <col min="69" max="70" width="9.140625" hidden="1" customWidth="1"/>
    <col min="71" max="72" width="9.140625" customWidth="1"/>
  </cols>
  <sheetData>
    <row r="1" spans="1:70" ht="28.5" customHeight="1">
      <c r="A1" s="686" t="s">
        <v>399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AY1" s="769"/>
      <c r="AZ1" s="769"/>
      <c r="BA1" s="769"/>
      <c r="BB1" s="769"/>
      <c r="BC1" s="719"/>
      <c r="BD1" s="719"/>
      <c r="BE1" s="719"/>
      <c r="BF1" s="719"/>
    </row>
    <row r="2" spans="1:70" ht="48.75" customHeight="1">
      <c r="A2" s="4"/>
      <c r="B2" s="756" t="s">
        <v>162</v>
      </c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6"/>
      <c r="AQ2" s="19"/>
      <c r="AR2" s="19"/>
      <c r="AS2" s="19"/>
      <c r="AT2" s="19"/>
      <c r="AU2" s="19"/>
      <c r="AV2" s="19"/>
      <c r="AW2" s="19"/>
      <c r="AX2" s="19"/>
    </row>
    <row r="3" spans="1:70" ht="28.5" customHeight="1">
      <c r="A3" s="713" t="s">
        <v>0</v>
      </c>
      <c r="B3" s="713" t="s">
        <v>2</v>
      </c>
      <c r="C3" s="713" t="s">
        <v>1</v>
      </c>
      <c r="D3" s="673" t="s">
        <v>68</v>
      </c>
      <c r="E3" s="722" t="s">
        <v>61</v>
      </c>
      <c r="F3" s="723"/>
      <c r="G3" s="723"/>
      <c r="H3" s="723"/>
      <c r="I3" s="723"/>
      <c r="J3" s="723"/>
      <c r="K3" s="723"/>
      <c r="L3" s="723"/>
      <c r="M3" s="723"/>
      <c r="N3" s="723"/>
      <c r="O3" s="675" t="s">
        <v>55</v>
      </c>
      <c r="P3" s="724" t="s">
        <v>56</v>
      </c>
      <c r="Q3" s="725"/>
      <c r="R3" s="1063" t="s">
        <v>54</v>
      </c>
      <c r="S3" s="673" t="s">
        <v>68</v>
      </c>
      <c r="T3" s="682" t="s">
        <v>60</v>
      </c>
      <c r="U3" s="683"/>
      <c r="V3" s="683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  <c r="BA3" s="684"/>
      <c r="BB3" s="684"/>
      <c r="BC3" s="684"/>
      <c r="BD3" s="684"/>
      <c r="BE3" s="684"/>
      <c r="BF3" s="684"/>
      <c r="BG3" s="684"/>
      <c r="BH3" s="684"/>
      <c r="BI3" s="685"/>
      <c r="BJ3" s="687"/>
      <c r="BK3" s="687"/>
      <c r="BL3" s="687"/>
      <c r="BM3" s="687"/>
      <c r="BN3" s="687"/>
    </row>
    <row r="4" spans="1:70" s="1" customFormat="1" ht="42.75" customHeight="1">
      <c r="A4" s="674"/>
      <c r="B4" s="674"/>
      <c r="C4" s="674"/>
      <c r="D4" s="674"/>
      <c r="E4" s="680" t="s">
        <v>59</v>
      </c>
      <c r="F4" s="681"/>
      <c r="G4" s="681"/>
      <c r="H4" s="681"/>
      <c r="I4" s="681"/>
      <c r="J4" s="681"/>
      <c r="K4" s="681"/>
      <c r="L4" s="681"/>
      <c r="M4" s="681"/>
      <c r="N4" s="681"/>
      <c r="O4" s="674"/>
      <c r="P4" s="726"/>
      <c r="Q4" s="727"/>
      <c r="R4" s="1064"/>
      <c r="S4" s="674"/>
      <c r="T4" s="676" t="s">
        <v>62</v>
      </c>
      <c r="U4" s="676"/>
      <c r="V4" s="676"/>
      <c r="W4" s="677"/>
      <c r="X4" s="688" t="s">
        <v>8</v>
      </c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73" t="s">
        <v>68</v>
      </c>
      <c r="AQ4" s="688" t="s">
        <v>19</v>
      </c>
      <c r="AR4" s="688"/>
      <c r="AS4" s="688"/>
      <c r="AT4" s="688"/>
      <c r="AU4" s="688"/>
      <c r="AV4" s="688"/>
      <c r="AW4" s="688"/>
      <c r="AX4" s="676" t="s">
        <v>19</v>
      </c>
      <c r="AY4" s="676"/>
      <c r="AZ4" s="676"/>
      <c r="BA4" s="676"/>
      <c r="BB4" s="676"/>
      <c r="BC4" s="676" t="s">
        <v>20</v>
      </c>
      <c r="BD4" s="676" t="s">
        <v>13</v>
      </c>
      <c r="BE4" s="676" t="s">
        <v>21</v>
      </c>
      <c r="BF4" s="676" t="s">
        <v>22</v>
      </c>
      <c r="BG4" s="704" t="s">
        <v>23</v>
      </c>
      <c r="BH4" s="704" t="s">
        <v>24</v>
      </c>
      <c r="BI4" s="811" t="s">
        <v>25</v>
      </c>
      <c r="BJ4" s="687" t="s">
        <v>129</v>
      </c>
      <c r="BK4" s="687"/>
      <c r="BL4" s="687"/>
      <c r="BM4" s="687"/>
      <c r="BN4" s="687"/>
    </row>
    <row r="5" spans="1:70" s="2" customFormat="1" ht="81.75" customHeight="1">
      <c r="A5" s="674"/>
      <c r="B5" s="674"/>
      <c r="C5" s="674"/>
      <c r="D5" s="674"/>
      <c r="E5" s="680" t="s">
        <v>53</v>
      </c>
      <c r="F5" s="681"/>
      <c r="G5" s="681"/>
      <c r="H5" s="680" t="s">
        <v>27</v>
      </c>
      <c r="I5" s="680" t="s">
        <v>10</v>
      </c>
      <c r="J5" s="680" t="s">
        <v>5</v>
      </c>
      <c r="K5" s="680" t="s">
        <v>51</v>
      </c>
      <c r="L5" s="680" t="s">
        <v>20</v>
      </c>
      <c r="M5" s="680" t="s">
        <v>13</v>
      </c>
      <c r="N5" s="680" t="s">
        <v>21</v>
      </c>
      <c r="O5" s="674"/>
      <c r="P5" s="680" t="s">
        <v>16</v>
      </c>
      <c r="Q5" s="680" t="s">
        <v>52</v>
      </c>
      <c r="R5" s="1064"/>
      <c r="S5" s="674"/>
      <c r="T5" s="676" t="s">
        <v>66</v>
      </c>
      <c r="U5" s="677"/>
      <c r="V5" s="677"/>
      <c r="W5" s="677"/>
      <c r="X5" s="676" t="s">
        <v>63</v>
      </c>
      <c r="Y5" s="676"/>
      <c r="Z5" s="676"/>
      <c r="AA5" s="676"/>
      <c r="AB5" s="692">
        <v>340</v>
      </c>
      <c r="AC5" s="692"/>
      <c r="AD5" s="692"/>
      <c r="AE5" s="692"/>
      <c r="AF5" s="692"/>
      <c r="AG5" s="692"/>
      <c r="AH5" s="692"/>
      <c r="AI5" s="692"/>
      <c r="AJ5" s="692"/>
      <c r="AK5" s="676" t="s">
        <v>4</v>
      </c>
      <c r="AL5" s="676"/>
      <c r="AM5" s="676"/>
      <c r="AN5" s="676"/>
      <c r="AO5" s="676"/>
      <c r="AP5" s="674"/>
      <c r="AQ5" s="676" t="s">
        <v>5</v>
      </c>
      <c r="AR5" s="676"/>
      <c r="AS5" s="676"/>
      <c r="AT5" s="676"/>
      <c r="AU5" s="676"/>
      <c r="AV5" s="676"/>
      <c r="AW5" s="676"/>
      <c r="AX5" s="676" t="s">
        <v>6</v>
      </c>
      <c r="AY5" s="717"/>
      <c r="AZ5" s="677"/>
      <c r="BA5" s="677"/>
      <c r="BB5" s="692">
        <v>290</v>
      </c>
      <c r="BC5" s="676"/>
      <c r="BD5" s="676"/>
      <c r="BE5" s="676"/>
      <c r="BF5" s="676"/>
      <c r="BG5" s="704"/>
      <c r="BH5" s="704"/>
      <c r="BI5" s="811"/>
      <c r="BJ5" s="691">
        <v>2110</v>
      </c>
      <c r="BK5" s="691">
        <v>2130</v>
      </c>
      <c r="BL5" s="691">
        <v>2230</v>
      </c>
      <c r="BM5" s="691">
        <v>7660</v>
      </c>
      <c r="BN5" s="691" t="s">
        <v>130</v>
      </c>
    </row>
    <row r="6" spans="1:70" s="2" customFormat="1" ht="33" customHeight="1">
      <c r="A6" s="674"/>
      <c r="B6" s="674"/>
      <c r="C6" s="674"/>
      <c r="D6" s="674"/>
      <c r="E6" s="680" t="s">
        <v>26</v>
      </c>
      <c r="F6" s="680"/>
      <c r="G6" s="680"/>
      <c r="H6" s="681"/>
      <c r="I6" s="681"/>
      <c r="J6" s="681"/>
      <c r="K6" s="681"/>
      <c r="L6" s="681"/>
      <c r="M6" s="681"/>
      <c r="N6" s="681"/>
      <c r="O6" s="674"/>
      <c r="P6" s="681"/>
      <c r="Q6" s="681"/>
      <c r="R6" s="1064"/>
      <c r="S6" s="674"/>
      <c r="T6" s="676" t="s">
        <v>3</v>
      </c>
      <c r="U6" s="676" t="s">
        <v>64</v>
      </c>
      <c r="V6" s="676" t="s">
        <v>12</v>
      </c>
      <c r="W6" s="676" t="s">
        <v>65</v>
      </c>
      <c r="X6" s="676" t="s">
        <v>16</v>
      </c>
      <c r="Y6" s="676"/>
      <c r="Z6" s="676"/>
      <c r="AA6" s="676"/>
      <c r="AB6" s="676" t="s">
        <v>27</v>
      </c>
      <c r="AC6" s="676"/>
      <c r="AD6" s="676"/>
      <c r="AE6" s="676"/>
      <c r="AF6" s="676"/>
      <c r="AG6" s="676"/>
      <c r="AH6" s="676"/>
      <c r="AI6" s="676"/>
      <c r="AJ6" s="676"/>
      <c r="AK6" s="676" t="s">
        <v>10</v>
      </c>
      <c r="AL6" s="676"/>
      <c r="AM6" s="676"/>
      <c r="AN6" s="676"/>
      <c r="AO6" s="676"/>
      <c r="AP6" s="674"/>
      <c r="AQ6" s="692">
        <v>225</v>
      </c>
      <c r="AR6" s="692"/>
      <c r="AS6" s="692"/>
      <c r="AT6" s="692"/>
      <c r="AU6" s="692"/>
      <c r="AV6" s="47">
        <v>290</v>
      </c>
      <c r="AW6" s="47">
        <v>224</v>
      </c>
      <c r="AX6" s="20" t="s">
        <v>4</v>
      </c>
      <c r="AY6" s="20" t="s">
        <v>4</v>
      </c>
      <c r="AZ6" s="676" t="s">
        <v>4</v>
      </c>
      <c r="BA6" s="676"/>
      <c r="BB6" s="692"/>
      <c r="BC6" s="676"/>
      <c r="BD6" s="676"/>
      <c r="BE6" s="676"/>
      <c r="BF6" s="676"/>
      <c r="BG6" s="704"/>
      <c r="BH6" s="704"/>
      <c r="BI6" s="811"/>
      <c r="BJ6" s="691"/>
      <c r="BK6" s="691"/>
      <c r="BL6" s="691"/>
      <c r="BM6" s="691"/>
      <c r="BN6" s="691"/>
    </row>
    <row r="7" spans="1:70" s="2" customFormat="1" ht="15" customHeight="1">
      <c r="A7" s="674"/>
      <c r="B7" s="674"/>
      <c r="C7" s="674"/>
      <c r="D7" s="674"/>
      <c r="E7" s="680" t="s">
        <v>3</v>
      </c>
      <c r="F7" s="680" t="s">
        <v>12</v>
      </c>
      <c r="G7" s="680" t="s">
        <v>11</v>
      </c>
      <c r="H7" s="681"/>
      <c r="I7" s="681"/>
      <c r="J7" s="681"/>
      <c r="K7" s="681"/>
      <c r="L7" s="681"/>
      <c r="M7" s="681"/>
      <c r="N7" s="681"/>
      <c r="O7" s="674"/>
      <c r="P7" s="681"/>
      <c r="Q7" s="681"/>
      <c r="R7" s="1064"/>
      <c r="S7" s="674"/>
      <c r="T7" s="677"/>
      <c r="U7" s="677"/>
      <c r="V7" s="677"/>
      <c r="W7" s="677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674"/>
      <c r="AQ7" s="676" t="s">
        <v>28</v>
      </c>
      <c r="AR7" s="676" t="s">
        <v>29</v>
      </c>
      <c r="AS7" s="676" t="s">
        <v>30</v>
      </c>
      <c r="AT7" s="676"/>
      <c r="AU7" s="676"/>
      <c r="AV7" s="676" t="s">
        <v>31</v>
      </c>
      <c r="AW7" s="676" t="s">
        <v>123</v>
      </c>
      <c r="AX7" s="676" t="s">
        <v>32</v>
      </c>
      <c r="AY7" s="676" t="s">
        <v>33</v>
      </c>
      <c r="AZ7" s="676" t="s">
        <v>34</v>
      </c>
      <c r="BA7" s="676"/>
      <c r="BB7" s="676" t="s">
        <v>142</v>
      </c>
      <c r="BC7" s="676"/>
      <c r="BD7" s="676"/>
      <c r="BE7" s="676"/>
      <c r="BF7" s="676"/>
      <c r="BG7" s="704"/>
      <c r="BH7" s="704"/>
      <c r="BI7" s="811"/>
      <c r="BJ7" s="691"/>
      <c r="BK7" s="691"/>
      <c r="BL7" s="691"/>
      <c r="BM7" s="691"/>
      <c r="BN7" s="691"/>
    </row>
    <row r="8" spans="1:70" s="2" customFormat="1" ht="26.25" customHeight="1">
      <c r="A8" s="674"/>
      <c r="B8" s="674"/>
      <c r="C8" s="674"/>
      <c r="D8" s="674"/>
      <c r="E8" s="680"/>
      <c r="F8" s="680"/>
      <c r="G8" s="680"/>
      <c r="H8" s="681"/>
      <c r="I8" s="681"/>
      <c r="J8" s="681"/>
      <c r="K8" s="681"/>
      <c r="L8" s="681"/>
      <c r="M8" s="681"/>
      <c r="N8" s="681"/>
      <c r="O8" s="674"/>
      <c r="P8" s="681"/>
      <c r="Q8" s="681"/>
      <c r="R8" s="1064"/>
      <c r="S8" s="674"/>
      <c r="T8" s="677"/>
      <c r="U8" s="677"/>
      <c r="V8" s="677"/>
      <c r="W8" s="677"/>
      <c r="X8" s="676" t="s">
        <v>9</v>
      </c>
      <c r="Y8" s="676" t="s">
        <v>98</v>
      </c>
      <c r="Z8" s="676" t="s">
        <v>17</v>
      </c>
      <c r="AA8" s="676" t="s">
        <v>18</v>
      </c>
      <c r="AB8" s="676" t="s">
        <v>36</v>
      </c>
      <c r="AC8" s="676" t="s">
        <v>37</v>
      </c>
      <c r="AD8" s="676" t="s">
        <v>38</v>
      </c>
      <c r="AE8" s="676" t="s">
        <v>39</v>
      </c>
      <c r="AF8" s="676" t="s">
        <v>40</v>
      </c>
      <c r="AG8" s="676" t="s">
        <v>14</v>
      </c>
      <c r="AH8" s="676" t="s">
        <v>41</v>
      </c>
      <c r="AI8" s="676" t="s">
        <v>15</v>
      </c>
      <c r="AJ8" s="676" t="s">
        <v>42</v>
      </c>
      <c r="AK8" s="676" t="s">
        <v>43</v>
      </c>
      <c r="AL8" s="676" t="s">
        <v>44</v>
      </c>
      <c r="AM8" s="676" t="s">
        <v>45</v>
      </c>
      <c r="AN8" s="676" t="s">
        <v>46</v>
      </c>
      <c r="AO8" s="676" t="s">
        <v>47</v>
      </c>
      <c r="AP8" s="674"/>
      <c r="AQ8" s="676"/>
      <c r="AR8" s="676"/>
      <c r="AS8" s="676" t="s">
        <v>48</v>
      </c>
      <c r="AT8" s="676" t="s">
        <v>49</v>
      </c>
      <c r="AU8" s="676" t="s">
        <v>50</v>
      </c>
      <c r="AV8" s="676"/>
      <c r="AW8" s="676"/>
      <c r="AX8" s="676"/>
      <c r="AY8" s="676"/>
      <c r="AZ8" s="676"/>
      <c r="BA8" s="676"/>
      <c r="BB8" s="676"/>
      <c r="BC8" s="676"/>
      <c r="BD8" s="676"/>
      <c r="BE8" s="676"/>
      <c r="BF8" s="676"/>
      <c r="BG8" s="704"/>
      <c r="BH8" s="704"/>
      <c r="BI8" s="811"/>
      <c r="BJ8" s="691"/>
      <c r="BK8" s="691"/>
      <c r="BL8" s="691"/>
      <c r="BM8" s="691"/>
      <c r="BN8" s="691"/>
    </row>
    <row r="9" spans="1:70" s="2" customFormat="1" ht="87.75" customHeight="1">
      <c r="A9" s="716"/>
      <c r="B9" s="716"/>
      <c r="C9" s="716"/>
      <c r="D9" s="716"/>
      <c r="E9" s="680"/>
      <c r="F9" s="680"/>
      <c r="G9" s="680"/>
      <c r="H9" s="681"/>
      <c r="I9" s="681"/>
      <c r="J9" s="681"/>
      <c r="K9" s="681"/>
      <c r="L9" s="681"/>
      <c r="M9" s="681"/>
      <c r="N9" s="681"/>
      <c r="O9" s="716"/>
      <c r="P9" s="681"/>
      <c r="Q9" s="681"/>
      <c r="R9" s="1065"/>
      <c r="S9" s="716"/>
      <c r="T9" s="677"/>
      <c r="U9" s="677"/>
      <c r="V9" s="677"/>
      <c r="W9" s="677"/>
      <c r="X9" s="676"/>
      <c r="Y9" s="676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6"/>
      <c r="AL9" s="676"/>
      <c r="AM9" s="676"/>
      <c r="AN9" s="676"/>
      <c r="AO9" s="676"/>
      <c r="AP9" s="674"/>
      <c r="AQ9" s="676"/>
      <c r="AR9" s="676"/>
      <c r="AS9" s="676"/>
      <c r="AT9" s="676"/>
      <c r="AU9" s="676"/>
      <c r="AV9" s="676"/>
      <c r="AW9" s="676"/>
      <c r="AX9" s="676"/>
      <c r="AY9" s="676"/>
      <c r="AZ9" s="676"/>
      <c r="BA9" s="676"/>
      <c r="BB9" s="676"/>
      <c r="BC9" s="676"/>
      <c r="BD9" s="676"/>
      <c r="BE9" s="676"/>
      <c r="BF9" s="676"/>
      <c r="BG9" s="704"/>
      <c r="BH9" s="704"/>
      <c r="BI9" s="811"/>
      <c r="BJ9" s="691"/>
      <c r="BK9" s="691"/>
      <c r="BL9" s="691"/>
      <c r="BM9" s="691"/>
      <c r="BN9" s="691"/>
      <c r="BQ9" s="2" t="s">
        <v>378</v>
      </c>
    </row>
    <row r="10" spans="1:70" ht="85.5" customHeight="1">
      <c r="A10" s="46" t="s">
        <v>163</v>
      </c>
      <c r="B10" s="46" t="s">
        <v>164</v>
      </c>
      <c r="C10" s="36">
        <v>42320</v>
      </c>
      <c r="D10" s="404" t="s">
        <v>111</v>
      </c>
      <c r="E10" s="53">
        <f>ROUND((T10+U10)/C10,3)</f>
        <v>109.39400000000001</v>
      </c>
      <c r="F10" s="53">
        <f>ROUND((V10+W10)/C10,3)</f>
        <v>85.180999999999997</v>
      </c>
      <c r="G10" s="53">
        <f>E10+F10</f>
        <v>194.57499999999999</v>
      </c>
      <c r="H10" s="53">
        <f>ROUND(AJ10/C10,3)</f>
        <v>0.373</v>
      </c>
      <c r="I10" s="53">
        <f>ROUND((AK10+AL10+AM10+AN10+AO10)/C10,3)</f>
        <v>3.7629999999999999</v>
      </c>
      <c r="J10" s="53">
        <f>ROUND((AQ10+AR10+AS10+AT10+AU10)/C10,3)</f>
        <v>2.9950000000000001</v>
      </c>
      <c r="K10" s="53">
        <f>ROUND((AX10+AY10)/C10,2)</f>
        <v>0</v>
      </c>
      <c r="L10" s="54">
        <f>ROUND(BC10/C10,2)</f>
        <v>0</v>
      </c>
      <c r="M10" s="54">
        <f>ROUND(BD10/C10,2)</f>
        <v>0</v>
      </c>
      <c r="N10" s="54">
        <f>ROUND(BE10/C10,2)</f>
        <v>0</v>
      </c>
      <c r="O10" s="53">
        <f>N10+M10+L10+K10+J10+I10+H10+G10</f>
        <v>201.70599999999999</v>
      </c>
      <c r="P10" s="53">
        <f>ROUND((X10+Z10+AA10)/C10,3)</f>
        <v>5.4859999999999998</v>
      </c>
      <c r="Q10" s="53">
        <f>ROUND(AV10/C10,2)</f>
        <v>0</v>
      </c>
      <c r="R10" s="66">
        <f>O10+P10+Q10</f>
        <v>207.19199999999998</v>
      </c>
      <c r="S10" s="404" t="s">
        <v>111</v>
      </c>
      <c r="T10" s="58">
        <v>3555740</v>
      </c>
      <c r="U10" s="58">
        <f>ROUND(T10*0.302,0)</f>
        <v>1073833</v>
      </c>
      <c r="V10" s="58">
        <v>2768698.48</v>
      </c>
      <c r="W10" s="58">
        <v>836143.7</v>
      </c>
      <c r="X10" s="58">
        <v>173441.91</v>
      </c>
      <c r="Y10" s="58"/>
      <c r="Z10" s="58">
        <v>56533</v>
      </c>
      <c r="AA10" s="58">
        <v>2185.09</v>
      </c>
      <c r="AB10" s="58">
        <v>729</v>
      </c>
      <c r="AC10" s="58"/>
      <c r="AD10" s="58">
        <v>10785</v>
      </c>
      <c r="AE10" s="58">
        <v>4251</v>
      </c>
      <c r="AF10" s="58"/>
      <c r="AG10" s="58"/>
      <c r="AH10" s="58"/>
      <c r="AI10" s="58"/>
      <c r="AJ10" s="91">
        <f>AB10+AC10+AD10+AE10+AF10+AG10+AI10+AH10</f>
        <v>15765</v>
      </c>
      <c r="AK10" s="58">
        <v>46421</v>
      </c>
      <c r="AL10" s="58"/>
      <c r="AM10" s="58">
        <v>109899</v>
      </c>
      <c r="AN10" s="58"/>
      <c r="AO10" s="58">
        <v>2922</v>
      </c>
      <c r="AP10" s="404" t="s">
        <v>111</v>
      </c>
      <c r="AQ10" s="58">
        <v>42229</v>
      </c>
      <c r="AR10" s="58">
        <v>26565.5</v>
      </c>
      <c r="AS10" s="58">
        <v>57941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58">
        <f>T10+U10+V10+W10+X10+Z10+AA10+AJ10+AK10+AL10+AM10+AN10+AQ10+AR10+AS10+AT10+AU10+AV10+AW10+AX10+AY10+AZ10+BA10+BB10+BC10+BD10+BE10+AO10</f>
        <v>8768317.6799999997</v>
      </c>
      <c r="BG10" s="58"/>
      <c r="BH10" s="58"/>
      <c r="BI10" s="67">
        <f>ROUND(BF10/C10,2)</f>
        <v>207.19</v>
      </c>
      <c r="BJ10" s="296">
        <f>T10+V10</f>
        <v>6324438.4800000004</v>
      </c>
      <c r="BK10" s="296">
        <f>U10+W10</f>
        <v>1909976.7</v>
      </c>
      <c r="BL10" s="296">
        <f>X10+Y10+Z10+AA10</f>
        <v>232160</v>
      </c>
      <c r="BM10" s="296">
        <f>AJ10+AK10+AL10+AM10+AN10+AO10+AS10+AT10+AX10+BB10+AR10+AV10+AY10+AQ10</f>
        <v>301742.5</v>
      </c>
      <c r="BN10" s="296">
        <f>BJ10+BK10+BL10+BM10</f>
        <v>8768317.6799999997</v>
      </c>
      <c r="BO10" s="405"/>
      <c r="BP10" s="405"/>
      <c r="BQ10">
        <v>3228.2</v>
      </c>
      <c r="BR10">
        <v>2273.3000000000002</v>
      </c>
    </row>
  </sheetData>
  <mergeCells count="93">
    <mergeCell ref="A1:R1"/>
    <mergeCell ref="A3:A9"/>
    <mergeCell ref="K5:K9"/>
    <mergeCell ref="L5:L9"/>
    <mergeCell ref="Q5:Q9"/>
    <mergeCell ref="C3:C9"/>
    <mergeCell ref="N5:N9"/>
    <mergeCell ref="E4:N4"/>
    <mergeCell ref="E6:G6"/>
    <mergeCell ref="H5:H9"/>
    <mergeCell ref="I5:I9"/>
    <mergeCell ref="AS8:AS9"/>
    <mergeCell ref="AR7:AR9"/>
    <mergeCell ref="B2:R2"/>
    <mergeCell ref="P3:Q4"/>
    <mergeCell ref="R3:R9"/>
    <mergeCell ref="M5:M9"/>
    <mergeCell ref="G7:G9"/>
    <mergeCell ref="O3:O9"/>
    <mergeCell ref="B3:B9"/>
    <mergeCell ref="T3:BI3"/>
    <mergeCell ref="S3:S9"/>
    <mergeCell ref="J5:J9"/>
    <mergeCell ref="E7:E9"/>
    <mergeCell ref="F7:F9"/>
    <mergeCell ref="D3:D9"/>
    <mergeCell ref="E5:G5"/>
    <mergeCell ref="BM5:BM9"/>
    <mergeCell ref="P5:P9"/>
    <mergeCell ref="AW7:AW9"/>
    <mergeCell ref="AX7:AX9"/>
    <mergeCell ref="AY7:AY9"/>
    <mergeCell ref="AZ6:BA6"/>
    <mergeCell ref="AI8:AI9"/>
    <mergeCell ref="AQ6:AU6"/>
    <mergeCell ref="BG4:BG9"/>
    <mergeCell ref="AX4:BB4"/>
    <mergeCell ref="BB7:BB9"/>
    <mergeCell ref="AB6:AJ7"/>
    <mergeCell ref="AO8:AO9"/>
    <mergeCell ref="V6:V9"/>
    <mergeCell ref="AA8:AA9"/>
    <mergeCell ref="X6:AA7"/>
    <mergeCell ref="T5:W5"/>
    <mergeCell ref="Z8:Z9"/>
    <mergeCell ref="Y8:Y9"/>
    <mergeCell ref="W6:W9"/>
    <mergeCell ref="X5:AA5"/>
    <mergeCell ref="X8:X9"/>
    <mergeCell ref="AH8:AH9"/>
    <mergeCell ref="AD8:AD9"/>
    <mergeCell ref="AF8:AF9"/>
    <mergeCell ref="AQ7:AQ9"/>
    <mergeCell ref="AM8:AM9"/>
    <mergeCell ref="AL8:AL9"/>
    <mergeCell ref="AK8:AK9"/>
    <mergeCell ref="AG8:AG9"/>
    <mergeCell ref="AK6:AO7"/>
    <mergeCell ref="AJ8:AJ9"/>
    <mergeCell ref="AN8:AN9"/>
    <mergeCell ref="AP4:AP9"/>
    <mergeCell ref="AS7:AU7"/>
    <mergeCell ref="BK5:BK9"/>
    <mergeCell ref="BL5:BL9"/>
    <mergeCell ref="AE8:AE9"/>
    <mergeCell ref="BH4:BH9"/>
    <mergeCell ref="AZ7:BA9"/>
    <mergeCell ref="AB5:AJ5"/>
    <mergeCell ref="AB8:AB9"/>
    <mergeCell ref="BB5:BB6"/>
    <mergeCell ref="AX5:BA5"/>
    <mergeCell ref="AT8:AT9"/>
    <mergeCell ref="AK5:AO5"/>
    <mergeCell ref="AQ5:AW5"/>
    <mergeCell ref="AV7:AV9"/>
    <mergeCell ref="AU8:AU9"/>
    <mergeCell ref="AC8:AC9"/>
    <mergeCell ref="AY1:BF1"/>
    <mergeCell ref="BJ3:BN3"/>
    <mergeCell ref="BJ4:BN4"/>
    <mergeCell ref="E3:N3"/>
    <mergeCell ref="X4:AO4"/>
    <mergeCell ref="BI4:BI9"/>
    <mergeCell ref="BD4:BD9"/>
    <mergeCell ref="BE4:BE9"/>
    <mergeCell ref="BF4:BF9"/>
    <mergeCell ref="BJ5:BJ9"/>
    <mergeCell ref="BC4:BC9"/>
    <mergeCell ref="AQ4:AW4"/>
    <mergeCell ref="BN5:BN9"/>
    <mergeCell ref="T4:W4"/>
    <mergeCell ref="T6:T9"/>
    <mergeCell ref="U6:U9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BO38"/>
  <sheetViews>
    <sheetView view="pageBreakPreview" topLeftCell="C1" zoomScale="80" zoomScaleNormal="80" zoomScaleSheetLayoutView="80" workbookViewId="0">
      <pane ySplit="8" topLeftCell="A21" activePane="bottomLeft" state="frozen"/>
      <selection pane="bottomLeft" activeCell="F34" sqref="F34:R34"/>
    </sheetView>
  </sheetViews>
  <sheetFormatPr defaultRowHeight="15.75" outlineLevelCol="1"/>
  <cols>
    <col min="1" max="1" width="29.5703125" style="3" customWidth="1"/>
    <col min="2" max="2" width="10.5703125" style="3" customWidth="1"/>
    <col min="3" max="3" width="7.28515625" style="3" customWidth="1"/>
    <col min="4" max="4" width="11.140625" style="71" customWidth="1"/>
    <col min="5" max="5" width="28.140625" style="3" customWidth="1"/>
    <col min="6" max="6" width="14.42578125" style="3" customWidth="1"/>
    <col min="7" max="7" width="12.140625" style="3" customWidth="1"/>
    <col min="8" max="8" width="11.140625" style="3" customWidth="1"/>
    <col min="9" max="9" width="10.140625" style="3" customWidth="1"/>
    <col min="10" max="10" width="9.7109375" style="3" customWidth="1"/>
    <col min="11" max="11" width="10.140625" style="3" customWidth="1"/>
    <col min="12" max="12" width="9.140625" style="3" customWidth="1"/>
    <col min="13" max="13" width="10.140625" style="3" customWidth="1"/>
    <col min="14" max="14" width="9.28515625" style="3" customWidth="1"/>
    <col min="15" max="15" width="10.7109375" style="3" customWidth="1"/>
    <col min="16" max="16" width="12.28515625" style="3" customWidth="1"/>
    <col min="17" max="17" width="10.42578125" style="3" customWidth="1"/>
    <col min="18" max="18" width="10.85546875" style="3" customWidth="1"/>
    <col min="19" max="19" width="12.85546875" style="3" customWidth="1"/>
    <col min="20" max="20" width="25.140625" style="3" customWidth="1"/>
    <col min="21" max="21" width="14.85546875" style="130" customWidth="1"/>
    <col min="22" max="22" width="14.28515625" style="130" customWidth="1"/>
    <col min="23" max="23" width="12.5703125" style="130" customWidth="1"/>
    <col min="24" max="25" width="10.7109375" style="130" customWidth="1"/>
    <col min="26" max="26" width="11" style="130" customWidth="1"/>
    <col min="27" max="27" width="12" style="130" customWidth="1"/>
    <col min="28" max="28" width="12.28515625" style="130" customWidth="1"/>
    <col min="29" max="29" width="13" style="130" customWidth="1"/>
    <col min="30" max="30" width="7.5703125" style="130" customWidth="1"/>
    <col min="31" max="31" width="10.5703125" style="130" customWidth="1"/>
    <col min="32" max="32" width="9.7109375" style="130" customWidth="1"/>
    <col min="33" max="33" width="13.140625" style="130" customWidth="1"/>
    <col min="34" max="34" width="12.42578125" style="130" customWidth="1"/>
    <col min="35" max="35" width="11.7109375" style="130" customWidth="1"/>
    <col min="36" max="36" width="13.42578125" style="130" customWidth="1"/>
    <col min="37" max="37" width="13" style="130" customWidth="1"/>
    <col min="38" max="38" width="5.85546875" style="130" customWidth="1"/>
    <col min="39" max="39" width="6" style="130" customWidth="1"/>
    <col min="40" max="40" width="7.140625" style="130" customWidth="1"/>
    <col min="41" max="41" width="11.42578125" style="130" customWidth="1"/>
    <col min="42" max="43" width="8.140625" style="130" customWidth="1"/>
    <col min="44" max="44" width="9.7109375" style="130" customWidth="1"/>
    <col min="45" max="45" width="8" style="130" customWidth="1"/>
    <col min="46" max="46" width="8.42578125" style="130" customWidth="1"/>
    <col min="47" max="47" width="8.28515625" style="130" customWidth="1"/>
    <col min="48" max="48" width="7.42578125" style="130" customWidth="1"/>
    <col min="49" max="49" width="10" style="130" customWidth="1"/>
    <col min="50" max="50" width="6.28515625" style="130" customWidth="1"/>
    <col min="51" max="51" width="9" style="130" customWidth="1"/>
    <col min="52" max="52" width="7.42578125" style="130" customWidth="1"/>
    <col min="53" max="55" width="9.28515625" style="130" hidden="1" customWidth="1" outlineLevel="1"/>
    <col min="56" max="56" width="14.5703125" style="130" customWidth="1" collapsed="1"/>
    <col min="57" max="57" width="14" style="130" customWidth="1"/>
    <col min="58" max="58" width="16.85546875" style="130" customWidth="1"/>
    <col min="59" max="59" width="9.5703125" style="277" customWidth="1"/>
    <col min="60" max="60" width="26.5703125" style="277" customWidth="1"/>
    <col min="61" max="61" width="13.85546875" style="71" customWidth="1"/>
    <col min="62" max="62" width="15.28515625" style="71" customWidth="1"/>
    <col min="63" max="63" width="12" style="71" customWidth="1"/>
    <col min="64" max="64" width="15.28515625" style="71" customWidth="1"/>
    <col min="65" max="65" width="13.85546875" style="71" customWidth="1"/>
    <col min="66" max="66" width="12" style="71" customWidth="1"/>
    <col min="67" max="67" width="16.140625" style="71" customWidth="1"/>
  </cols>
  <sheetData>
    <row r="1" spans="1:67" ht="27" customHeight="1">
      <c r="A1" s="686" t="s">
        <v>416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BD1" s="749"/>
      <c r="BE1" s="749"/>
      <c r="BF1" s="749"/>
      <c r="BJ1" s="749"/>
      <c r="BK1" s="749"/>
      <c r="BL1" s="749"/>
      <c r="BM1" s="749"/>
    </row>
    <row r="2" spans="1:67" ht="31.5" customHeight="1">
      <c r="A2" s="4"/>
      <c r="B2" s="756" t="s">
        <v>374</v>
      </c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6"/>
      <c r="U2" s="743"/>
      <c r="V2" s="743"/>
      <c r="W2" s="743"/>
      <c r="X2" s="743"/>
      <c r="Y2" s="743"/>
      <c r="Z2" s="743"/>
      <c r="AA2" s="743"/>
      <c r="AB2" s="743"/>
      <c r="AC2" s="743"/>
      <c r="AD2" s="743"/>
      <c r="AE2" s="743"/>
      <c r="AF2" s="743"/>
      <c r="AG2" s="743"/>
      <c r="AH2" s="743"/>
      <c r="AI2" s="743"/>
      <c r="AJ2" s="743"/>
      <c r="AK2" s="743"/>
      <c r="AL2" s="743"/>
      <c r="AM2" s="743"/>
      <c r="AN2" s="743"/>
      <c r="AO2" s="744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BI2" s="277">
        <f>U9+W9</f>
        <v>6290890.8399999999</v>
      </c>
      <c r="BJ2" s="277">
        <f>V9+X9</f>
        <v>1899936.66</v>
      </c>
      <c r="BK2" s="277">
        <f>Y9+Z9+AA9+AB9</f>
        <v>207392.5</v>
      </c>
      <c r="BL2" s="277">
        <f>BE9</f>
        <v>1313571.79</v>
      </c>
      <c r="BM2" s="277">
        <f>BD9</f>
        <v>1072995.8900000001</v>
      </c>
      <c r="BN2" s="277">
        <f>AK9+AO9</f>
        <v>518141.73000000004</v>
      </c>
    </row>
    <row r="3" spans="1:67" ht="28.5" customHeight="1">
      <c r="A3" s="711" t="s">
        <v>0</v>
      </c>
      <c r="B3" s="711" t="s">
        <v>2</v>
      </c>
      <c r="C3" s="713" t="s">
        <v>277</v>
      </c>
      <c r="D3" s="752" t="s">
        <v>1</v>
      </c>
      <c r="E3" s="731" t="s">
        <v>68</v>
      </c>
      <c r="F3" s="722" t="s">
        <v>61</v>
      </c>
      <c r="G3" s="723"/>
      <c r="H3" s="723"/>
      <c r="I3" s="723"/>
      <c r="J3" s="723"/>
      <c r="K3" s="723"/>
      <c r="L3" s="723"/>
      <c r="M3" s="723"/>
      <c r="N3" s="723"/>
      <c r="O3" s="723"/>
      <c r="P3" s="680" t="s">
        <v>55</v>
      </c>
      <c r="Q3" s="680" t="s">
        <v>56</v>
      </c>
      <c r="R3" s="712"/>
      <c r="S3" s="757" t="s">
        <v>54</v>
      </c>
      <c r="T3" s="731" t="s">
        <v>68</v>
      </c>
      <c r="U3" s="745" t="s">
        <v>60</v>
      </c>
      <c r="V3" s="746"/>
      <c r="W3" s="746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  <c r="AX3" s="747"/>
      <c r="AY3" s="747"/>
      <c r="AZ3" s="747"/>
      <c r="BA3" s="747"/>
      <c r="BB3" s="747"/>
      <c r="BC3" s="747"/>
      <c r="BD3" s="747"/>
      <c r="BE3" s="747"/>
      <c r="BF3" s="747"/>
      <c r="BG3" s="748"/>
      <c r="BH3" s="366"/>
      <c r="BI3" s="687"/>
      <c r="BJ3" s="687"/>
      <c r="BK3" s="687"/>
      <c r="BL3" s="687"/>
      <c r="BM3" s="687"/>
      <c r="BN3" s="687"/>
      <c r="BO3" s="687"/>
    </row>
    <row r="4" spans="1:67" s="1" customFormat="1" ht="83.25" customHeight="1">
      <c r="A4" s="712"/>
      <c r="B4" s="712"/>
      <c r="C4" s="674"/>
      <c r="D4" s="687"/>
      <c r="E4" s="712"/>
      <c r="F4" s="680" t="s">
        <v>59</v>
      </c>
      <c r="G4" s="681"/>
      <c r="H4" s="681"/>
      <c r="I4" s="681"/>
      <c r="J4" s="681"/>
      <c r="K4" s="681"/>
      <c r="L4" s="681"/>
      <c r="M4" s="681"/>
      <c r="N4" s="681"/>
      <c r="O4" s="681"/>
      <c r="P4" s="712"/>
      <c r="Q4" s="712"/>
      <c r="R4" s="712"/>
      <c r="S4" s="758"/>
      <c r="T4" s="712"/>
      <c r="U4" s="730" t="s">
        <v>62</v>
      </c>
      <c r="V4" s="730"/>
      <c r="W4" s="730"/>
      <c r="X4" s="732"/>
      <c r="Y4" s="735" t="s">
        <v>8</v>
      </c>
      <c r="Z4" s="736"/>
      <c r="AA4" s="736"/>
      <c r="AB4" s="736"/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36"/>
      <c r="AO4" s="736"/>
      <c r="AP4" s="736"/>
      <c r="AQ4" s="737"/>
      <c r="AR4" s="735" t="s">
        <v>19</v>
      </c>
      <c r="AS4" s="741"/>
      <c r="AT4" s="741"/>
      <c r="AU4" s="741"/>
      <c r="AV4" s="741"/>
      <c r="AW4" s="741"/>
      <c r="AX4" s="742"/>
      <c r="AY4" s="730" t="s">
        <v>19</v>
      </c>
      <c r="AZ4" s="730"/>
      <c r="BA4" s="730"/>
      <c r="BB4" s="730"/>
      <c r="BC4" s="730"/>
      <c r="BD4" s="739" t="s">
        <v>20</v>
      </c>
      <c r="BE4" s="739" t="s">
        <v>13</v>
      </c>
      <c r="BF4" s="739" t="s">
        <v>22</v>
      </c>
      <c r="BG4" s="740" t="s">
        <v>25</v>
      </c>
      <c r="BH4" s="731" t="s">
        <v>68</v>
      </c>
      <c r="BI4" s="728" t="s">
        <v>129</v>
      </c>
      <c r="BJ4" s="728"/>
      <c r="BK4" s="728"/>
      <c r="BL4" s="728"/>
      <c r="BM4" s="728"/>
      <c r="BN4" s="728"/>
      <c r="BO4" s="728"/>
    </row>
    <row r="5" spans="1:67" s="2" customFormat="1" ht="67.5" customHeight="1">
      <c r="A5" s="712"/>
      <c r="B5" s="712"/>
      <c r="C5" s="674"/>
      <c r="D5" s="687"/>
      <c r="E5" s="712"/>
      <c r="F5" s="680" t="s">
        <v>53</v>
      </c>
      <c r="G5" s="681"/>
      <c r="H5" s="681"/>
      <c r="I5" s="680" t="s">
        <v>27</v>
      </c>
      <c r="J5" s="680" t="s">
        <v>10</v>
      </c>
      <c r="K5" s="680" t="s">
        <v>5</v>
      </c>
      <c r="L5" s="680" t="s">
        <v>51</v>
      </c>
      <c r="M5" s="680" t="s">
        <v>20</v>
      </c>
      <c r="N5" s="680" t="s">
        <v>13</v>
      </c>
      <c r="O5" s="680" t="s">
        <v>21</v>
      </c>
      <c r="P5" s="712"/>
      <c r="Q5" s="680" t="s">
        <v>16</v>
      </c>
      <c r="R5" s="680" t="s">
        <v>52</v>
      </c>
      <c r="S5" s="758"/>
      <c r="T5" s="712"/>
      <c r="U5" s="730" t="s">
        <v>66</v>
      </c>
      <c r="V5" s="732"/>
      <c r="W5" s="732"/>
      <c r="X5" s="732"/>
      <c r="Y5" s="735" t="s">
        <v>63</v>
      </c>
      <c r="Z5" s="736"/>
      <c r="AA5" s="736"/>
      <c r="AB5" s="737"/>
      <c r="AC5" s="738">
        <v>340</v>
      </c>
      <c r="AD5" s="738"/>
      <c r="AE5" s="738"/>
      <c r="AF5" s="738"/>
      <c r="AG5" s="738"/>
      <c r="AH5" s="738"/>
      <c r="AI5" s="738"/>
      <c r="AJ5" s="738"/>
      <c r="AK5" s="738"/>
      <c r="AL5" s="730" t="s">
        <v>4</v>
      </c>
      <c r="AM5" s="730"/>
      <c r="AN5" s="730"/>
      <c r="AO5" s="730"/>
      <c r="AP5" s="730"/>
      <c r="AQ5" s="730"/>
      <c r="AR5" s="730" t="s">
        <v>5</v>
      </c>
      <c r="AS5" s="730"/>
      <c r="AT5" s="730"/>
      <c r="AU5" s="730"/>
      <c r="AV5" s="730"/>
      <c r="AW5" s="730"/>
      <c r="AX5" s="730"/>
      <c r="AY5" s="730" t="s">
        <v>6</v>
      </c>
      <c r="AZ5" s="730"/>
      <c r="BA5" s="732"/>
      <c r="BB5" s="732"/>
      <c r="BC5" s="738">
        <v>290</v>
      </c>
      <c r="BD5" s="739"/>
      <c r="BE5" s="739"/>
      <c r="BF5" s="739"/>
      <c r="BG5" s="740"/>
      <c r="BH5" s="687"/>
      <c r="BI5" s="728">
        <v>2110</v>
      </c>
      <c r="BJ5" s="728">
        <v>2130</v>
      </c>
      <c r="BK5" s="728">
        <v>2230</v>
      </c>
      <c r="BL5" s="728">
        <v>7500</v>
      </c>
      <c r="BM5" s="728">
        <v>7520</v>
      </c>
      <c r="BN5" s="728">
        <v>7660</v>
      </c>
      <c r="BO5" s="728" t="s">
        <v>130</v>
      </c>
    </row>
    <row r="6" spans="1:67" s="2" customFormat="1" ht="53.25" customHeight="1">
      <c r="A6" s="712"/>
      <c r="B6" s="712"/>
      <c r="C6" s="674"/>
      <c r="D6" s="687"/>
      <c r="E6" s="712"/>
      <c r="F6" s="753" t="s">
        <v>26</v>
      </c>
      <c r="G6" s="754"/>
      <c r="H6" s="755"/>
      <c r="I6" s="681"/>
      <c r="J6" s="681"/>
      <c r="K6" s="681"/>
      <c r="L6" s="681"/>
      <c r="M6" s="681"/>
      <c r="N6" s="681"/>
      <c r="O6" s="681"/>
      <c r="P6" s="712"/>
      <c r="Q6" s="681"/>
      <c r="R6" s="681"/>
      <c r="S6" s="758"/>
      <c r="T6" s="712"/>
      <c r="U6" s="730" t="s">
        <v>3</v>
      </c>
      <c r="V6" s="730" t="s">
        <v>64</v>
      </c>
      <c r="W6" s="730" t="s">
        <v>12</v>
      </c>
      <c r="X6" s="730" t="s">
        <v>65</v>
      </c>
      <c r="Y6" s="735" t="s">
        <v>16</v>
      </c>
      <c r="Z6" s="736"/>
      <c r="AA6" s="736"/>
      <c r="AB6" s="737"/>
      <c r="AC6" s="730" t="s">
        <v>27</v>
      </c>
      <c r="AD6" s="730"/>
      <c r="AE6" s="730"/>
      <c r="AF6" s="730"/>
      <c r="AG6" s="730"/>
      <c r="AH6" s="730"/>
      <c r="AI6" s="730"/>
      <c r="AJ6" s="730"/>
      <c r="AK6" s="730"/>
      <c r="AL6" s="730" t="s">
        <v>10</v>
      </c>
      <c r="AM6" s="730"/>
      <c r="AN6" s="730"/>
      <c r="AO6" s="730"/>
      <c r="AP6" s="730"/>
      <c r="AQ6" s="730"/>
      <c r="AR6" s="738">
        <v>225</v>
      </c>
      <c r="AS6" s="738"/>
      <c r="AT6" s="738"/>
      <c r="AU6" s="738"/>
      <c r="AV6" s="738"/>
      <c r="AW6" s="78">
        <v>290</v>
      </c>
      <c r="AX6" s="78">
        <v>224</v>
      </c>
      <c r="AY6" s="60" t="s">
        <v>4</v>
      </c>
      <c r="AZ6" s="60" t="s">
        <v>4</v>
      </c>
      <c r="BA6" s="730" t="s">
        <v>4</v>
      </c>
      <c r="BB6" s="730"/>
      <c r="BC6" s="738"/>
      <c r="BD6" s="739"/>
      <c r="BE6" s="739"/>
      <c r="BF6" s="739"/>
      <c r="BG6" s="740"/>
      <c r="BH6" s="687"/>
      <c r="BI6" s="728"/>
      <c r="BJ6" s="728"/>
      <c r="BK6" s="728"/>
      <c r="BL6" s="728"/>
      <c r="BM6" s="728"/>
      <c r="BN6" s="728"/>
      <c r="BO6" s="728"/>
    </row>
    <row r="7" spans="1:67" s="2" customFormat="1" ht="56.25" customHeight="1">
      <c r="A7" s="712"/>
      <c r="B7" s="712"/>
      <c r="C7" s="674"/>
      <c r="D7" s="687"/>
      <c r="E7" s="712"/>
      <c r="F7" s="675" t="s">
        <v>3</v>
      </c>
      <c r="G7" s="675" t="s">
        <v>12</v>
      </c>
      <c r="H7" s="675" t="s">
        <v>11</v>
      </c>
      <c r="I7" s="681"/>
      <c r="J7" s="681"/>
      <c r="K7" s="681"/>
      <c r="L7" s="681"/>
      <c r="M7" s="681"/>
      <c r="N7" s="681"/>
      <c r="O7" s="681"/>
      <c r="P7" s="712"/>
      <c r="Q7" s="681"/>
      <c r="R7" s="681"/>
      <c r="S7" s="758"/>
      <c r="T7" s="712"/>
      <c r="U7" s="732"/>
      <c r="V7" s="732"/>
      <c r="W7" s="732"/>
      <c r="X7" s="732"/>
      <c r="Y7" s="750" t="s">
        <v>398</v>
      </c>
      <c r="Z7" s="730" t="s">
        <v>98</v>
      </c>
      <c r="AA7" s="730" t="s">
        <v>17</v>
      </c>
      <c r="AB7" s="730" t="s">
        <v>18</v>
      </c>
      <c r="AC7" s="730" t="s">
        <v>36</v>
      </c>
      <c r="AD7" s="730" t="s">
        <v>37</v>
      </c>
      <c r="AE7" s="730" t="s">
        <v>38</v>
      </c>
      <c r="AF7" s="730" t="s">
        <v>39</v>
      </c>
      <c r="AG7" s="730" t="s">
        <v>40</v>
      </c>
      <c r="AH7" s="730" t="s">
        <v>14</v>
      </c>
      <c r="AI7" s="730" t="s">
        <v>41</v>
      </c>
      <c r="AJ7" s="730" t="s">
        <v>15</v>
      </c>
      <c r="AK7" s="730" t="s">
        <v>42</v>
      </c>
      <c r="AL7" s="730" t="s">
        <v>43</v>
      </c>
      <c r="AM7" s="730" t="s">
        <v>44</v>
      </c>
      <c r="AN7" s="730" t="s">
        <v>293</v>
      </c>
      <c r="AO7" s="60" t="s">
        <v>45</v>
      </c>
      <c r="AP7" s="730" t="s">
        <v>46</v>
      </c>
      <c r="AQ7" s="730" t="s">
        <v>47</v>
      </c>
      <c r="AR7" s="733" t="s">
        <v>28</v>
      </c>
      <c r="AS7" s="733" t="s">
        <v>29</v>
      </c>
      <c r="AT7" s="730" t="s">
        <v>119</v>
      </c>
      <c r="AU7" s="730"/>
      <c r="AV7" s="730"/>
      <c r="AW7" s="733" t="s">
        <v>31</v>
      </c>
      <c r="AX7" s="733" t="s">
        <v>7</v>
      </c>
      <c r="AY7" s="733" t="s">
        <v>32</v>
      </c>
      <c r="AZ7" s="733" t="s">
        <v>33</v>
      </c>
      <c r="BA7" s="735" t="s">
        <v>34</v>
      </c>
      <c r="BB7" s="742"/>
      <c r="BC7" s="733" t="s">
        <v>35</v>
      </c>
      <c r="BD7" s="739"/>
      <c r="BE7" s="739"/>
      <c r="BF7" s="739"/>
      <c r="BG7" s="740"/>
      <c r="BH7" s="687"/>
      <c r="BI7" s="728"/>
      <c r="BJ7" s="728"/>
      <c r="BK7" s="728"/>
      <c r="BL7" s="728"/>
      <c r="BM7" s="728"/>
      <c r="BN7" s="728"/>
      <c r="BO7" s="728"/>
    </row>
    <row r="8" spans="1:67" s="2" customFormat="1" ht="57.75" customHeight="1">
      <c r="A8" s="712"/>
      <c r="B8" s="712"/>
      <c r="C8" s="716"/>
      <c r="D8" s="687"/>
      <c r="E8" s="712"/>
      <c r="F8" s="729"/>
      <c r="G8" s="729"/>
      <c r="H8" s="729"/>
      <c r="I8" s="681"/>
      <c r="J8" s="681"/>
      <c r="K8" s="681"/>
      <c r="L8" s="681"/>
      <c r="M8" s="681"/>
      <c r="N8" s="681"/>
      <c r="O8" s="681"/>
      <c r="P8" s="712"/>
      <c r="Q8" s="681"/>
      <c r="R8" s="681"/>
      <c r="S8" s="758"/>
      <c r="T8" s="712"/>
      <c r="U8" s="732"/>
      <c r="V8" s="732"/>
      <c r="W8" s="732"/>
      <c r="X8" s="732"/>
      <c r="Y8" s="751"/>
      <c r="Z8" s="730"/>
      <c r="AA8" s="730"/>
      <c r="AB8" s="730"/>
      <c r="AC8" s="730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60" t="s">
        <v>373</v>
      </c>
      <c r="AP8" s="730"/>
      <c r="AQ8" s="730"/>
      <c r="AR8" s="734"/>
      <c r="AS8" s="734"/>
      <c r="AT8" s="60" t="s">
        <v>48</v>
      </c>
      <c r="AU8" s="60" t="s">
        <v>49</v>
      </c>
      <c r="AV8" s="60" t="s">
        <v>50</v>
      </c>
      <c r="AW8" s="734"/>
      <c r="AX8" s="734"/>
      <c r="AY8" s="734"/>
      <c r="AZ8" s="734"/>
      <c r="BA8" s="60"/>
      <c r="BB8" s="60"/>
      <c r="BC8" s="734"/>
      <c r="BD8" s="739"/>
      <c r="BE8" s="739"/>
      <c r="BF8" s="739"/>
      <c r="BG8" s="740"/>
      <c r="BH8" s="687"/>
      <c r="BI8" s="728"/>
      <c r="BJ8" s="728"/>
      <c r="BK8" s="728"/>
      <c r="BL8" s="728"/>
      <c r="BM8" s="728"/>
      <c r="BN8" s="728"/>
      <c r="BO8" s="728"/>
    </row>
    <row r="9" spans="1:67" s="1" customFormat="1" ht="34.5" customHeight="1">
      <c r="A9" s="376" t="s">
        <v>185</v>
      </c>
      <c r="B9" s="376" t="s">
        <v>112</v>
      </c>
      <c r="C9" s="376"/>
      <c r="D9" s="377">
        <f>SUM(D10:D20)</f>
        <v>8416</v>
      </c>
      <c r="E9" s="378"/>
      <c r="F9" s="344">
        <f>ROUND((U9+V9)/D9,3)</f>
        <v>930.22699999999998</v>
      </c>
      <c r="G9" s="344">
        <f t="shared" ref="G9:G14" si="0">ROUND((W9+X9)/D9,3)</f>
        <v>43.017000000000003</v>
      </c>
      <c r="H9" s="344">
        <f>F9+G9</f>
        <v>973.24400000000003</v>
      </c>
      <c r="I9" s="344">
        <f>ROUND((AK9-AJ9)/D9,3)</f>
        <v>30.902000000000001</v>
      </c>
      <c r="J9" s="344">
        <f>AO9/D9</f>
        <v>4.9693441064638781</v>
      </c>
      <c r="K9" s="344">
        <f>ROUND((AR9+AS9+AT9+AU9+AV9)/D9,3)</f>
        <v>0</v>
      </c>
      <c r="L9" s="344">
        <f>ROUND((AY9+AZ9)/D9,2)</f>
        <v>0</v>
      </c>
      <c r="M9" s="385">
        <f>ROUND((BD9)/(D9),3)</f>
        <v>127.495</v>
      </c>
      <c r="N9" s="385">
        <f>ROUND(BE9/D9,3)</f>
        <v>156.08000000000001</v>
      </c>
      <c r="O9" s="385">
        <f>ROUND(AJ9/D9,3)</f>
        <v>25.695</v>
      </c>
      <c r="P9" s="344">
        <f>SUM(H9:O9)</f>
        <v>1318.3853441064637</v>
      </c>
      <c r="Q9" s="344">
        <f>ROUND((Z9+AA9+AB9+Y9)/D9,3)</f>
        <v>24.643000000000001</v>
      </c>
      <c r="R9" s="344">
        <f>ROUND(AW9/D9,2)</f>
        <v>0</v>
      </c>
      <c r="S9" s="344">
        <f>H9+I9+J9+K9+L9+M9+N9+O9+Q9+R9</f>
        <v>1343.0283441064637</v>
      </c>
      <c r="T9" s="378"/>
      <c r="U9" s="344">
        <f>SUM(U10:U20)</f>
        <v>6012831.4500000002</v>
      </c>
      <c r="V9" s="344">
        <f t="shared" ref="V9:AK9" si="1">SUM(V10:V20)</f>
        <v>1815963.13</v>
      </c>
      <c r="W9" s="344">
        <f t="shared" si="1"/>
        <v>278059.39</v>
      </c>
      <c r="X9" s="344">
        <f t="shared" si="1"/>
        <v>83973.53</v>
      </c>
      <c r="Y9" s="344">
        <f t="shared" si="1"/>
        <v>29602.25</v>
      </c>
      <c r="Z9" s="344">
        <f t="shared" si="1"/>
        <v>5274.75</v>
      </c>
      <c r="AA9" s="344">
        <f t="shared" si="1"/>
        <v>166581</v>
      </c>
      <c r="AB9" s="344">
        <f t="shared" si="1"/>
        <v>5934.5</v>
      </c>
      <c r="AC9" s="344">
        <f t="shared" si="1"/>
        <v>179495.8</v>
      </c>
      <c r="AD9" s="344">
        <f t="shared" si="1"/>
        <v>0</v>
      </c>
      <c r="AE9" s="344">
        <f t="shared" si="1"/>
        <v>4277</v>
      </c>
      <c r="AF9" s="344">
        <f t="shared" si="1"/>
        <v>8453</v>
      </c>
      <c r="AG9" s="344">
        <f t="shared" si="1"/>
        <v>19206</v>
      </c>
      <c r="AH9" s="344">
        <f t="shared" si="1"/>
        <v>39145</v>
      </c>
      <c r="AI9" s="344">
        <f t="shared" si="1"/>
        <v>9492</v>
      </c>
      <c r="AJ9" s="344">
        <f t="shared" si="1"/>
        <v>216250.93000000002</v>
      </c>
      <c r="AK9" s="344">
        <f t="shared" si="1"/>
        <v>476319.73000000004</v>
      </c>
      <c r="AL9" s="344">
        <f t="shared" ref="AL9:BF9" si="2">SUM(AL10:AL20)</f>
        <v>0</v>
      </c>
      <c r="AM9" s="344">
        <f t="shared" si="2"/>
        <v>0</v>
      </c>
      <c r="AN9" s="344">
        <f t="shared" si="2"/>
        <v>0</v>
      </c>
      <c r="AO9" s="344">
        <f t="shared" si="2"/>
        <v>41822</v>
      </c>
      <c r="AP9" s="344">
        <f t="shared" si="2"/>
        <v>0</v>
      </c>
      <c r="AQ9" s="344">
        <f t="shared" si="2"/>
        <v>0</v>
      </c>
      <c r="AR9" s="344">
        <f t="shared" si="2"/>
        <v>0</v>
      </c>
      <c r="AS9" s="344">
        <f t="shared" si="2"/>
        <v>0</v>
      </c>
      <c r="AT9" s="344">
        <f t="shared" si="2"/>
        <v>0</v>
      </c>
      <c r="AU9" s="344">
        <f t="shared" si="2"/>
        <v>0</v>
      </c>
      <c r="AV9" s="344">
        <f t="shared" si="2"/>
        <v>0</v>
      </c>
      <c r="AW9" s="344">
        <f t="shared" si="2"/>
        <v>0</v>
      </c>
      <c r="AX9" s="344">
        <f t="shared" si="2"/>
        <v>0</v>
      </c>
      <c r="AY9" s="344">
        <f t="shared" si="2"/>
        <v>0</v>
      </c>
      <c r="AZ9" s="344">
        <f t="shared" si="2"/>
        <v>0</v>
      </c>
      <c r="BA9" s="344">
        <f t="shared" si="2"/>
        <v>0</v>
      </c>
      <c r="BB9" s="344">
        <f t="shared" si="2"/>
        <v>0</v>
      </c>
      <c r="BC9" s="344">
        <f t="shared" si="2"/>
        <v>0</v>
      </c>
      <c r="BD9" s="344">
        <f t="shared" si="2"/>
        <v>1072995.8900000001</v>
      </c>
      <c r="BE9" s="344">
        <f t="shared" si="2"/>
        <v>1313571.79</v>
      </c>
      <c r="BF9" s="344">
        <f t="shared" si="2"/>
        <v>11302929.41</v>
      </c>
      <c r="BG9" s="344">
        <f>ROUND(BF9/D9,2)</f>
        <v>1343.03</v>
      </c>
      <c r="BH9" s="379"/>
      <c r="BI9" s="344">
        <f>SUM(BI10:BI20)</f>
        <v>6290890.8400000008</v>
      </c>
      <c r="BJ9" s="344">
        <f t="shared" ref="BJ9:BO9" si="3">SUM(BJ10:BJ20)</f>
        <v>1899936.6600000001</v>
      </c>
      <c r="BK9" s="344">
        <f t="shared" si="3"/>
        <v>207392.5</v>
      </c>
      <c r="BL9" s="344">
        <f t="shared" si="3"/>
        <v>1313571.79</v>
      </c>
      <c r="BM9" s="344">
        <f t="shared" si="3"/>
        <v>1072995.8900000001</v>
      </c>
      <c r="BN9" s="344">
        <f t="shared" si="3"/>
        <v>518141.73000000004</v>
      </c>
      <c r="BO9" s="344">
        <f t="shared" si="3"/>
        <v>11302929.41</v>
      </c>
    </row>
    <row r="10" spans="1:67" s="330" customFormat="1" ht="34.5" customHeight="1">
      <c r="A10" s="759" t="s">
        <v>375</v>
      </c>
      <c r="B10" s="763" t="s">
        <v>295</v>
      </c>
      <c r="C10" s="759" t="s">
        <v>294</v>
      </c>
      <c r="D10" s="314">
        <v>332</v>
      </c>
      <c r="E10" s="93" t="s">
        <v>80</v>
      </c>
      <c r="F10" s="58">
        <f t="shared" ref="F10:F15" si="4">ROUND((U10+V10)/D10,3)</f>
        <v>1108.3610000000001</v>
      </c>
      <c r="G10" s="58">
        <f t="shared" si="0"/>
        <v>0</v>
      </c>
      <c r="H10" s="58">
        <f>F10+G10</f>
        <v>1108.3610000000001</v>
      </c>
      <c r="I10" s="58">
        <f>ROUND((AK10-AJ10)/D10,3)</f>
        <v>30.562999999999999</v>
      </c>
      <c r="J10" s="58">
        <f>AO10/D10</f>
        <v>125.96987951807229</v>
      </c>
      <c r="K10" s="58">
        <f>ROUND((AR10+AS10+AT10+AU10+AV10)/D10,2)</f>
        <v>0</v>
      </c>
      <c r="L10" s="58">
        <f>ROUND((AY10+AZ10)/D10,2)</f>
        <v>0</v>
      </c>
      <c r="M10" s="153">
        <v>0</v>
      </c>
      <c r="N10" s="153">
        <f>ROUND(BE10/D10,3)</f>
        <v>76.138999999999996</v>
      </c>
      <c r="O10" s="153">
        <f>ROUND(AJ10/D10,3)</f>
        <v>19.434000000000001</v>
      </c>
      <c r="P10" s="58">
        <f>O10+N10+M10+L10+K10+J10+I10+H10</f>
        <v>1360.4668795180723</v>
      </c>
      <c r="Q10" s="58">
        <f>ROUND((Z10+AA10+AB10)/D10,2)</f>
        <v>0</v>
      </c>
      <c r="R10" s="58">
        <f>ROUND(AW10/D10,2)</f>
        <v>0</v>
      </c>
      <c r="S10" s="371">
        <f>P10+Q10+R10</f>
        <v>1360.4668795180723</v>
      </c>
      <c r="T10" s="93" t="s">
        <v>80</v>
      </c>
      <c r="U10" s="320">
        <v>282623</v>
      </c>
      <c r="V10" s="320">
        <v>85353</v>
      </c>
      <c r="W10" s="576"/>
      <c r="X10" s="576"/>
      <c r="Y10" s="576"/>
      <c r="Z10" s="576"/>
      <c r="AA10" s="576"/>
      <c r="AB10" s="576"/>
      <c r="AC10" s="58">
        <f>ROUND(26.67*D10,0)-224.2</f>
        <v>8629.7999999999993</v>
      </c>
      <c r="AD10" s="65"/>
      <c r="AE10" s="373">
        <f>ROUND(0.5*D10,0)</f>
        <v>166</v>
      </c>
      <c r="AF10" s="373">
        <f>ROUND(1*D10,0)</f>
        <v>332</v>
      </c>
      <c r="AG10" s="373">
        <f>ROUND(2*D10,0)</f>
        <v>664</v>
      </c>
      <c r="AH10" s="65"/>
      <c r="AI10" s="373">
        <v>355</v>
      </c>
      <c r="AJ10" s="373">
        <v>6452.2</v>
      </c>
      <c r="AK10" s="58">
        <f>SUM(AC10:AJ10)</f>
        <v>16599</v>
      </c>
      <c r="AL10" s="576"/>
      <c r="AM10" s="576"/>
      <c r="AN10" s="576"/>
      <c r="AO10" s="320">
        <f>ROUND(125.97*D10,0)</f>
        <v>41822</v>
      </c>
      <c r="AP10" s="576"/>
      <c r="AQ10" s="576"/>
      <c r="AR10" s="576"/>
      <c r="AS10" s="576"/>
      <c r="AT10" s="576"/>
      <c r="AU10" s="576"/>
      <c r="AV10" s="576"/>
      <c r="AW10" s="576"/>
      <c r="AX10" s="576"/>
      <c r="AY10" s="576"/>
      <c r="AZ10" s="576"/>
      <c r="BA10" s="576"/>
      <c r="BB10" s="576"/>
      <c r="BC10" s="576"/>
      <c r="BD10" s="576"/>
      <c r="BE10" s="320">
        <v>25278</v>
      </c>
      <c r="BF10" s="58">
        <f>U10+V10+W10+X10+Z10+AA10+AB10+AK10+AL10+AM10+AN10+AP10+AR10+AS10+AT10+AU10+AV10+AW10+AX10+AY10+AZ10+BA10+BB10+BC10+BD10+BE10+AO10+Y10</f>
        <v>451675</v>
      </c>
      <c r="BG10" s="370">
        <f>ROUND(BF10/D10,3)</f>
        <v>1360.4670000000001</v>
      </c>
      <c r="BH10" s="93" t="s">
        <v>80</v>
      </c>
      <c r="BI10" s="81">
        <f>U10+W10</f>
        <v>282623</v>
      </c>
      <c r="BJ10" s="81">
        <f>V10+X10</f>
        <v>85353</v>
      </c>
      <c r="BK10" s="81">
        <f t="shared" ref="BK10:BK20" si="5">Z10+AA10+AB10+Y10</f>
        <v>0</v>
      </c>
      <c r="BL10" s="81">
        <f>BE10</f>
        <v>25278</v>
      </c>
      <c r="BM10" s="81">
        <f>BD10</f>
        <v>0</v>
      </c>
      <c r="BN10" s="81">
        <f>AK10+AL10+AM10+AN10+AO10+AP10+AQ10+AR10+AS10+AT10+AU10+AV10+AW10+AX10+AY10+AZ10+BA10+BB10+BC10</f>
        <v>58421</v>
      </c>
      <c r="BO10" s="91">
        <f>BI10+BJ10+BK10+BL10+BM10+BN10</f>
        <v>451675</v>
      </c>
    </row>
    <row r="11" spans="1:67" s="1" customFormat="1" ht="61.5" customHeight="1">
      <c r="A11" s="674"/>
      <c r="B11" s="674"/>
      <c r="C11" s="674"/>
      <c r="D11" s="64">
        <v>1411</v>
      </c>
      <c r="E11" s="93" t="s">
        <v>86</v>
      </c>
      <c r="F11" s="58">
        <f t="shared" si="4"/>
        <v>646.45100000000002</v>
      </c>
      <c r="G11" s="58">
        <f t="shared" si="0"/>
        <v>195.93100000000001</v>
      </c>
      <c r="H11" s="58">
        <f t="shared" ref="H11:H20" si="6">F11+G11</f>
        <v>842.38200000000006</v>
      </c>
      <c r="I11" s="58">
        <f>ROUND((AK11-AJ11)/D11,2)</f>
        <v>36.880000000000003</v>
      </c>
      <c r="J11" s="58">
        <f t="shared" ref="J11:J20" si="7">ROUND((AL11+AM11+AN11+AP11+AQ11)/D11,2)</f>
        <v>0</v>
      </c>
      <c r="K11" s="58">
        <f t="shared" ref="K11:K20" si="8">ROUND((AR11+AS11+AT11+AU11+AV11)/D11,2)</f>
        <v>0</v>
      </c>
      <c r="L11" s="58">
        <f t="shared" ref="L11:L20" si="9">ROUND((AY11+AZ11)/D11,2)</f>
        <v>0</v>
      </c>
      <c r="M11" s="153">
        <f>ROUND(BD11/D11,2)</f>
        <v>125.97</v>
      </c>
      <c r="N11" s="153">
        <f t="shared" ref="N11:N20" si="10">ROUND(BE11/D11,2)</f>
        <v>101.26</v>
      </c>
      <c r="O11" s="153">
        <f>ROUND(AJ11/D11,2)</f>
        <v>11.25</v>
      </c>
      <c r="P11" s="58">
        <f t="shared" ref="P11:P20" si="11">O11+N11+M11+L11+K11+J11+I11+H11</f>
        <v>1117.7420000000002</v>
      </c>
      <c r="Q11" s="58">
        <f t="shared" ref="Q11:Q20" si="12">ROUND((Z11+AA11+AB11)/D11,2)</f>
        <v>0</v>
      </c>
      <c r="R11" s="58">
        <f t="shared" ref="R11:R20" si="13">ROUND(AW11/D11,2)</f>
        <v>0</v>
      </c>
      <c r="S11" s="371">
        <f>P11+Q11+R11</f>
        <v>1117.7420000000002</v>
      </c>
      <c r="T11" s="93" t="s">
        <v>86</v>
      </c>
      <c r="U11" s="58">
        <v>700546</v>
      </c>
      <c r="V11" s="320">
        <v>211596</v>
      </c>
      <c r="W11" s="58">
        <v>212333</v>
      </c>
      <c r="X11" s="320">
        <f>ROUND(W11*0.302,0)</f>
        <v>64125</v>
      </c>
      <c r="Y11" s="58"/>
      <c r="Z11" s="58"/>
      <c r="AA11" s="58"/>
      <c r="AB11" s="58"/>
      <c r="AC11" s="58">
        <f>ROUND(26.67*D11,0)</f>
        <v>37631</v>
      </c>
      <c r="AD11" s="58"/>
      <c r="AE11" s="373">
        <f>ROUND(0.5*D11,0)</f>
        <v>706</v>
      </c>
      <c r="AF11" s="373">
        <f>ROUND(1*D11,0)</f>
        <v>1411</v>
      </c>
      <c r="AG11" s="373">
        <f>ROUND(2*D11,0)</f>
        <v>2822</v>
      </c>
      <c r="AH11" s="373">
        <v>8055</v>
      </c>
      <c r="AI11" s="373">
        <f>ROUND(1*D11,0)</f>
        <v>1411</v>
      </c>
      <c r="AJ11" s="373">
        <v>15867</v>
      </c>
      <c r="AK11" s="58">
        <f>SUM(AC11:AJ11)</f>
        <v>67903</v>
      </c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>
        <v>177743.6</v>
      </c>
      <c r="BE11" s="58">
        <v>142880</v>
      </c>
      <c r="BF11" s="58">
        <f>U11+V11+W11+X11+Z11+AA11+AB11+AK11+AL11+AM11+AN11+AP11+AR11+AS11+AT11+AU11+AV11+AW11+AX11+AY11+AZ11+BA11+BB11+BC11+BD11+BE11+AO11+Y11</f>
        <v>1577126.6</v>
      </c>
      <c r="BG11" s="370">
        <f t="shared" ref="BG11:BG20" si="14">ROUND(BF11/D11,2)</f>
        <v>1117.74</v>
      </c>
      <c r="BH11" s="93" t="s">
        <v>86</v>
      </c>
      <c r="BI11" s="81">
        <f t="shared" ref="BI11:BJ15" si="15">U11+W11</f>
        <v>912879</v>
      </c>
      <c r="BJ11" s="81">
        <f t="shared" si="15"/>
        <v>275721</v>
      </c>
      <c r="BK11" s="81">
        <f t="shared" si="5"/>
        <v>0</v>
      </c>
      <c r="BL11" s="81">
        <f t="shared" ref="BL11:BL20" si="16">BE11</f>
        <v>142880</v>
      </c>
      <c r="BM11" s="81">
        <f t="shared" ref="BM11:BM20" si="17">BD11</f>
        <v>177743.6</v>
      </c>
      <c r="BN11" s="81">
        <f t="shared" ref="BN11:BN20" si="18">AK11+AL11+AM11+AN11+AO11+AP11+AQ11+AR11+AS11+AT11+AU11+AV11+AW11+AX11+AY11+AZ11+BA11+BB11+BC11</f>
        <v>67903</v>
      </c>
      <c r="BO11" s="91">
        <f t="shared" ref="BO11:BO20" si="19">BI11+BJ11+BK11+BL11+BM11+BN11</f>
        <v>1577126.6</v>
      </c>
    </row>
    <row r="12" spans="1:67" ht="54" customHeight="1">
      <c r="A12" s="674"/>
      <c r="B12" s="674"/>
      <c r="C12" s="674"/>
      <c r="D12" s="64">
        <v>898</v>
      </c>
      <c r="E12" s="93" t="s">
        <v>82</v>
      </c>
      <c r="F12" s="58">
        <f t="shared" si="4"/>
        <v>900.90300000000002</v>
      </c>
      <c r="G12" s="58">
        <f t="shared" si="0"/>
        <v>95.295000000000002</v>
      </c>
      <c r="H12" s="58">
        <f>F12+G12</f>
        <v>996.19799999999998</v>
      </c>
      <c r="I12" s="58">
        <f>ROUND((AK12-AJ12)/D12,3)</f>
        <v>41.978999999999999</v>
      </c>
      <c r="J12" s="58">
        <f>ROUND((AL12+AM12+AN12+AP12+AQ12)/D12,2)</f>
        <v>0</v>
      </c>
      <c r="K12" s="58">
        <f>ROUND((AR12+AS12+AT12+AU12+AV12)/D12,2)</f>
        <v>0</v>
      </c>
      <c r="L12" s="58">
        <f>ROUND((AY12+AZ12)/D12,2)</f>
        <v>0</v>
      </c>
      <c r="M12" s="153">
        <f>ROUND(BD12/D12,3)</f>
        <v>67.180999999999997</v>
      </c>
      <c r="N12" s="153">
        <f>ROUND(BE12/D12,3)</f>
        <v>79.709999999999994</v>
      </c>
      <c r="O12" s="153">
        <f>ROUND(AJ12/D12,3)</f>
        <v>4.18</v>
      </c>
      <c r="P12" s="58">
        <f>O12+N12+M12+L12+K12+J12+I12+H12</f>
        <v>1189.248</v>
      </c>
      <c r="Q12" s="58">
        <f>ROUND((Z12+AA12+AB12)/D12,3)</f>
        <v>185.846</v>
      </c>
      <c r="R12" s="58">
        <f>ROUND(AW12/D12,2)</f>
        <v>0</v>
      </c>
      <c r="S12" s="371">
        <f>P12+Q12+R12</f>
        <v>1375.0940000000001</v>
      </c>
      <c r="T12" s="93" t="s">
        <v>82</v>
      </c>
      <c r="U12" s="58">
        <v>621360</v>
      </c>
      <c r="V12" s="320">
        <f>ROUND(U12*0.302,0)</f>
        <v>187651</v>
      </c>
      <c r="W12" s="58">
        <v>65726.39</v>
      </c>
      <c r="X12" s="320">
        <v>19848.53</v>
      </c>
      <c r="Y12" s="58"/>
      <c r="Z12" s="58">
        <v>5274.75</v>
      </c>
      <c r="AA12" s="58">
        <v>161615</v>
      </c>
      <c r="AB12" s="58">
        <v>0</v>
      </c>
      <c r="AC12" s="58">
        <v>28717</v>
      </c>
      <c r="AD12" s="58"/>
      <c r="AE12" s="373">
        <f t="shared" ref="AE12:AE19" si="20">ROUND(0.5*D12,0)</f>
        <v>449</v>
      </c>
      <c r="AF12" s="373">
        <f t="shared" ref="AF12:AF19" si="21">ROUND(1*D12,0)</f>
        <v>898</v>
      </c>
      <c r="AG12" s="373">
        <f>ROUND(2*D12,0)</f>
        <v>1796</v>
      </c>
      <c r="AH12" s="373">
        <f>ROUND(5*D12,0)</f>
        <v>4490</v>
      </c>
      <c r="AI12" s="373">
        <f>ROUND(1.5*D12,0)</f>
        <v>1347</v>
      </c>
      <c r="AJ12" s="373">
        <f>41451-37697</f>
        <v>3754</v>
      </c>
      <c r="AK12" s="58">
        <f t="shared" ref="AK12:AK20" si="22">SUM(AC12:AJ12)</f>
        <v>41451</v>
      </c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>
        <v>60328.1</v>
      </c>
      <c r="BE12" s="58">
        <v>71580</v>
      </c>
      <c r="BF12" s="58">
        <f>U12+V12+W12+X12+Z12+AA12+AB12+AK12+AL12+AM12+AN12+AP12+AR12+AS12+AT12+AU12+AV12+AW12+AX12+AY12+AZ12+BA12+BB12+BC12+BD12+BE12+AO12+Y12</f>
        <v>1234834.77</v>
      </c>
      <c r="BG12" s="370">
        <f t="shared" si="14"/>
        <v>1375.09</v>
      </c>
      <c r="BH12" s="93" t="s">
        <v>82</v>
      </c>
      <c r="BI12" s="81">
        <f t="shared" si="15"/>
        <v>687086.39</v>
      </c>
      <c r="BJ12" s="81">
        <f t="shared" si="15"/>
        <v>207499.53</v>
      </c>
      <c r="BK12" s="81">
        <f t="shared" si="5"/>
        <v>166889.75</v>
      </c>
      <c r="BL12" s="81">
        <f t="shared" si="16"/>
        <v>71580</v>
      </c>
      <c r="BM12" s="81">
        <f t="shared" si="17"/>
        <v>60328.1</v>
      </c>
      <c r="BN12" s="81">
        <f t="shared" si="18"/>
        <v>41451</v>
      </c>
      <c r="BO12" s="91">
        <f t="shared" si="19"/>
        <v>1234834.77</v>
      </c>
    </row>
    <row r="13" spans="1:67" ht="71.25" customHeight="1">
      <c r="A13" s="674"/>
      <c r="B13" s="674"/>
      <c r="C13" s="674"/>
      <c r="D13" s="64">
        <v>996</v>
      </c>
      <c r="E13" s="93" t="s">
        <v>363</v>
      </c>
      <c r="F13" s="58">
        <f t="shared" si="4"/>
        <v>866.74099999999999</v>
      </c>
      <c r="G13" s="58">
        <f t="shared" si="0"/>
        <v>0</v>
      </c>
      <c r="H13" s="58">
        <f>F13+G13</f>
        <v>866.74099999999999</v>
      </c>
      <c r="I13" s="58">
        <f>ROUND((AK13-AJ13)/D13,3)</f>
        <v>17.344999999999999</v>
      </c>
      <c r="J13" s="58">
        <f>ROUND((AL13+AM13+AN13+AP13+AQ13)/D13,2)</f>
        <v>0</v>
      </c>
      <c r="K13" s="58">
        <f>ROUND((AR13+AS13+AT13+AU13+AV13)/D13,2)</f>
        <v>0</v>
      </c>
      <c r="L13" s="58">
        <f>ROUND((AY13+AZ13)/D13,2)</f>
        <v>0</v>
      </c>
      <c r="M13" s="153">
        <f>ROUND(BD13/D13,3)</f>
        <v>159.63999999999999</v>
      </c>
      <c r="N13" s="153">
        <f>ROUND(BE13/D13,3)</f>
        <v>228.08199999999999</v>
      </c>
      <c r="O13" s="153">
        <f>ROUND(AJ13/D13,P14)</f>
        <v>32.4270381526104</v>
      </c>
      <c r="P13" s="58">
        <f>O13+N13+M13+L13+K13+J13+I13+H13</f>
        <v>1304.2350381526103</v>
      </c>
      <c r="Q13" s="58">
        <f>ROUND((Z13+AA13+AB13)/D13,2)</f>
        <v>0</v>
      </c>
      <c r="R13" s="58">
        <f>ROUND(AW13/D13,2)</f>
        <v>0</v>
      </c>
      <c r="S13" s="371">
        <f>P13+Q13+R13</f>
        <v>1304.2350381526103</v>
      </c>
      <c r="T13" s="93" t="s">
        <v>363</v>
      </c>
      <c r="U13" s="58">
        <v>663036</v>
      </c>
      <c r="V13" s="320">
        <v>200238</v>
      </c>
      <c r="W13" s="58"/>
      <c r="X13" s="58">
        <f t="shared" ref="X13:X20" si="23">ROUND(W13*0.302,0)</f>
        <v>0</v>
      </c>
      <c r="Y13" s="58"/>
      <c r="Z13" s="58"/>
      <c r="AA13" s="58"/>
      <c r="AB13" s="58"/>
      <c r="AC13" s="58">
        <v>14282</v>
      </c>
      <c r="AD13" s="58"/>
      <c r="AE13" s="373">
        <f t="shared" si="20"/>
        <v>498</v>
      </c>
      <c r="AF13" s="373">
        <f t="shared" si="21"/>
        <v>996</v>
      </c>
      <c r="AG13" s="373">
        <v>1500</v>
      </c>
      <c r="AH13" s="58"/>
      <c r="AI13" s="373">
        <v>0</v>
      </c>
      <c r="AJ13" s="373">
        <v>32297.33</v>
      </c>
      <c r="AK13" s="58">
        <f t="shared" si="22"/>
        <v>49573.33</v>
      </c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>
        <v>159001.4</v>
      </c>
      <c r="BE13" s="58">
        <v>227170</v>
      </c>
      <c r="BF13" s="58">
        <f>U13+V13+W13+X13+Z13+AA13+AB13+AK13+AL13+AM13+AN13+AP13+AR13+AS13+AT13+AU13+AV13+AW13+AX13+AY13+AZ13+BA13+BB13+BC13+BD13+BE13+AO13+Y13</f>
        <v>1299018.73</v>
      </c>
      <c r="BG13" s="370">
        <f t="shared" si="14"/>
        <v>1304.24</v>
      </c>
      <c r="BH13" s="93" t="s">
        <v>363</v>
      </c>
      <c r="BI13" s="81">
        <f>U13+W13</f>
        <v>663036</v>
      </c>
      <c r="BJ13" s="81">
        <f>V13+X13</f>
        <v>200238</v>
      </c>
      <c r="BK13" s="81">
        <f t="shared" si="5"/>
        <v>0</v>
      </c>
      <c r="BL13" s="81">
        <f t="shared" si="16"/>
        <v>227170</v>
      </c>
      <c r="BM13" s="81">
        <f t="shared" si="17"/>
        <v>159001.4</v>
      </c>
      <c r="BN13" s="81">
        <f t="shared" si="18"/>
        <v>49573.33</v>
      </c>
      <c r="BO13" s="91">
        <f t="shared" si="19"/>
        <v>1299018.73</v>
      </c>
    </row>
    <row r="14" spans="1:67" ht="67.5" customHeight="1">
      <c r="A14" s="674"/>
      <c r="B14" s="674"/>
      <c r="C14" s="674"/>
      <c r="D14" s="314">
        <v>664</v>
      </c>
      <c r="E14" s="88" t="s">
        <v>372</v>
      </c>
      <c r="F14" s="58">
        <f t="shared" si="4"/>
        <v>1163.5329999999999</v>
      </c>
      <c r="G14" s="58">
        <f t="shared" si="0"/>
        <v>0</v>
      </c>
      <c r="H14" s="58">
        <f>F14+G14</f>
        <v>1163.5329999999999</v>
      </c>
      <c r="I14" s="58">
        <f>ROUND((AK14-AJ14)/D14,3)</f>
        <v>29.483000000000001</v>
      </c>
      <c r="J14" s="58">
        <f>ROUND((AL14+AM14+AN14+AP14+AQ14)/D14,2)</f>
        <v>0</v>
      </c>
      <c r="K14" s="58">
        <f>ROUND((AR14+AS14+AT14+AU14+AV14)/D14,2)</f>
        <v>0</v>
      </c>
      <c r="L14" s="58">
        <f>ROUND((AY14+AZ14)/D14,2)</f>
        <v>0</v>
      </c>
      <c r="M14" s="153">
        <f>ROUND(BD14/D14,2)</f>
        <v>125.97</v>
      </c>
      <c r="N14" s="153">
        <f>ROUND(BE14/D14,2)</f>
        <v>80</v>
      </c>
      <c r="O14" s="153">
        <f>ROUND(AJ14/D14,2)</f>
        <v>24.57</v>
      </c>
      <c r="P14" s="58">
        <f>O14+N14+M14+L14+K14+J14+I14+H14</f>
        <v>1423.5559999999998</v>
      </c>
      <c r="Q14" s="58">
        <f>ROUND((Z14+AA14+AB14)/D14,2)</f>
        <v>0</v>
      </c>
      <c r="R14" s="58">
        <f>ROUND(AW14/D14,2)</f>
        <v>0</v>
      </c>
      <c r="S14" s="371">
        <f>P14+Q14+R14</f>
        <v>1423.5559999999998</v>
      </c>
      <c r="T14" s="88" t="s">
        <v>372</v>
      </c>
      <c r="U14" s="58">
        <v>593360</v>
      </c>
      <c r="V14" s="320">
        <v>179226</v>
      </c>
      <c r="W14" s="58"/>
      <c r="X14" s="58">
        <f t="shared" si="23"/>
        <v>0</v>
      </c>
      <c r="Y14" s="58"/>
      <c r="Z14" s="58"/>
      <c r="AA14" s="58"/>
      <c r="AB14" s="58"/>
      <c r="AC14" s="58">
        <f>ROUND(26.67*D14,0)+872</f>
        <v>18581</v>
      </c>
      <c r="AD14" s="58"/>
      <c r="AE14" s="373">
        <f t="shared" si="20"/>
        <v>332</v>
      </c>
      <c r="AF14" s="373">
        <f t="shared" si="21"/>
        <v>664</v>
      </c>
      <c r="AG14" s="373">
        <v>0</v>
      </c>
      <c r="AH14" s="58"/>
      <c r="AI14" s="373">
        <v>0</v>
      </c>
      <c r="AJ14" s="373">
        <v>16317</v>
      </c>
      <c r="AK14" s="58">
        <f>SUM(AC14:AJ14)</f>
        <v>35894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>
        <v>83644</v>
      </c>
      <c r="BE14" s="58">
        <v>53120</v>
      </c>
      <c r="BF14" s="58">
        <f>U14+V14+W14+X14+Z14+AA14+AB14+AK14+AL14+AM14+AN14+AP14+AR14+AS14+AT14+AU14+AV14+AW14+AX14+AY14+AZ14+BA14+BB14+BC14+BD14+BE14+AO14</f>
        <v>945244</v>
      </c>
      <c r="BG14" s="370">
        <f t="shared" si="14"/>
        <v>1423.56</v>
      </c>
      <c r="BH14" s="88" t="s">
        <v>372</v>
      </c>
      <c r="BI14" s="81">
        <f t="shared" si="15"/>
        <v>593360</v>
      </c>
      <c r="BJ14" s="81">
        <f t="shared" si="15"/>
        <v>179226</v>
      </c>
      <c r="BK14" s="81">
        <f t="shared" si="5"/>
        <v>0</v>
      </c>
      <c r="BL14" s="81">
        <f t="shared" si="16"/>
        <v>53120</v>
      </c>
      <c r="BM14" s="81">
        <f t="shared" si="17"/>
        <v>83644</v>
      </c>
      <c r="BN14" s="81">
        <f t="shared" si="18"/>
        <v>35894</v>
      </c>
      <c r="BO14" s="91">
        <f t="shared" si="19"/>
        <v>945244</v>
      </c>
    </row>
    <row r="15" spans="1:67" ht="38.25" customHeight="1">
      <c r="A15" s="674"/>
      <c r="B15" s="674"/>
      <c r="C15" s="674"/>
      <c r="D15" s="314">
        <v>3320</v>
      </c>
      <c r="E15" s="88" t="s">
        <v>87</v>
      </c>
      <c r="F15" s="58">
        <f t="shared" si="4"/>
        <v>1121.6279999999999</v>
      </c>
      <c r="G15" s="58">
        <f t="shared" ref="G15:G20" si="24">ROUND((W15+X15)/D15,2)</f>
        <v>0</v>
      </c>
      <c r="H15" s="58">
        <f t="shared" si="6"/>
        <v>1121.6279999999999</v>
      </c>
      <c r="I15" s="58">
        <f>ROUND((AK15-AJ15)/D15,3)</f>
        <v>29.280999999999999</v>
      </c>
      <c r="J15" s="58">
        <f t="shared" si="7"/>
        <v>0</v>
      </c>
      <c r="K15" s="58">
        <f t="shared" si="8"/>
        <v>0</v>
      </c>
      <c r="L15" s="58">
        <f t="shared" si="9"/>
        <v>0</v>
      </c>
      <c r="M15" s="153">
        <f>ROUND(BD15/D15,3)</f>
        <v>152.11000000000001</v>
      </c>
      <c r="N15" s="153">
        <f>ROUND(BE15/D15,3)</f>
        <v>217.535</v>
      </c>
      <c r="O15" s="153">
        <f>ROUND(AJ15/D15,3)</f>
        <v>35.01</v>
      </c>
      <c r="P15" s="58">
        <f t="shared" si="11"/>
        <v>1555.5639999999999</v>
      </c>
      <c r="Q15" s="58">
        <f>ROUND((Z15+AA15+AB15+Y15)/D15,3)</f>
        <v>12.2</v>
      </c>
      <c r="R15" s="58">
        <f t="shared" si="13"/>
        <v>0</v>
      </c>
      <c r="S15" s="371">
        <f t="shared" ref="S15:S20" si="25">P15+Q15+R15</f>
        <v>1567.7639999999999</v>
      </c>
      <c r="T15" s="88" t="s">
        <v>87</v>
      </c>
      <c r="U15" s="58">
        <v>2860046</v>
      </c>
      <c r="V15" s="320">
        <v>863758.09</v>
      </c>
      <c r="W15" s="58"/>
      <c r="X15" s="58">
        <f t="shared" si="23"/>
        <v>0</v>
      </c>
      <c r="Y15" s="58">
        <v>29602.25</v>
      </c>
      <c r="Z15" s="58">
        <v>0</v>
      </c>
      <c r="AA15" s="58">
        <v>4966</v>
      </c>
      <c r="AB15" s="58">
        <v>5934.5</v>
      </c>
      <c r="AC15" s="58">
        <v>50014</v>
      </c>
      <c r="AD15" s="58"/>
      <c r="AE15" s="373">
        <f t="shared" si="20"/>
        <v>1660</v>
      </c>
      <c r="AF15" s="373">
        <f t="shared" si="21"/>
        <v>3320</v>
      </c>
      <c r="AG15" s="373">
        <v>10640</v>
      </c>
      <c r="AH15" s="373">
        <v>26600</v>
      </c>
      <c r="AI15" s="373">
        <f>ROUND(1.5*D15,0)</f>
        <v>4980</v>
      </c>
      <c r="AJ15" s="373">
        <v>116233</v>
      </c>
      <c r="AK15" s="58">
        <f t="shared" si="22"/>
        <v>213447</v>
      </c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>
        <v>505004.2</v>
      </c>
      <c r="BE15" s="58">
        <v>722215.25</v>
      </c>
      <c r="BF15" s="58">
        <f t="shared" ref="BF15:BF20" si="26">U15+V15+W15+X15+Z15+AA15+AB15+AK15+AL15+AM15+AN15+AP15+AR15+AS15+AT15+AU15+AV15+AW15+AX15+AY15+AZ15+BA15+BB15+BC15+BD15+BE15+AO15+Y15</f>
        <v>5204973.29</v>
      </c>
      <c r="BG15" s="370">
        <f t="shared" si="14"/>
        <v>1567.76</v>
      </c>
      <c r="BH15" s="88" t="s">
        <v>87</v>
      </c>
      <c r="BI15" s="81">
        <f t="shared" si="15"/>
        <v>2860046</v>
      </c>
      <c r="BJ15" s="81">
        <f t="shared" si="15"/>
        <v>863758.09</v>
      </c>
      <c r="BK15" s="81">
        <f t="shared" si="5"/>
        <v>40502.75</v>
      </c>
      <c r="BL15" s="81">
        <f t="shared" si="16"/>
        <v>722215.25</v>
      </c>
      <c r="BM15" s="81">
        <f t="shared" si="17"/>
        <v>505004.2</v>
      </c>
      <c r="BN15" s="81">
        <f t="shared" si="18"/>
        <v>213447</v>
      </c>
      <c r="BO15" s="91">
        <f t="shared" si="19"/>
        <v>5204973.29</v>
      </c>
    </row>
    <row r="16" spans="1:67" ht="33.75" customHeight="1">
      <c r="A16" s="674"/>
      <c r="B16" s="674"/>
      <c r="C16" s="674"/>
      <c r="D16" s="314">
        <v>178</v>
      </c>
      <c r="E16" s="88" t="s">
        <v>69</v>
      </c>
      <c r="F16" s="58">
        <f>ROUND((U16+V16)/D16,2)</f>
        <v>489.17</v>
      </c>
      <c r="G16" s="58">
        <f t="shared" si="24"/>
        <v>0</v>
      </c>
      <c r="H16" s="58">
        <f t="shared" si="6"/>
        <v>489.17</v>
      </c>
      <c r="I16" s="58">
        <f>ROUND((AK16-AJ16)/D16,2)</f>
        <v>22.23</v>
      </c>
      <c r="J16" s="58">
        <f t="shared" si="7"/>
        <v>0</v>
      </c>
      <c r="K16" s="58">
        <f t="shared" si="8"/>
        <v>0</v>
      </c>
      <c r="L16" s="58">
        <f t="shared" si="9"/>
        <v>0</v>
      </c>
      <c r="M16" s="153">
        <f>ROUND(BD16/D16,2)</f>
        <v>105.81</v>
      </c>
      <c r="N16" s="153">
        <f t="shared" si="10"/>
        <v>77.739999999999995</v>
      </c>
      <c r="O16" s="153">
        <f>ROUND(AJ16/D16,2)</f>
        <v>32.86</v>
      </c>
      <c r="P16" s="58">
        <f t="shared" si="11"/>
        <v>727.81</v>
      </c>
      <c r="Q16" s="58">
        <f t="shared" si="12"/>
        <v>0</v>
      </c>
      <c r="R16" s="58">
        <f t="shared" si="13"/>
        <v>0</v>
      </c>
      <c r="S16" s="371">
        <f t="shared" si="25"/>
        <v>727.81</v>
      </c>
      <c r="T16" s="88" t="s">
        <v>69</v>
      </c>
      <c r="U16" s="58">
        <v>66876.7</v>
      </c>
      <c r="V16" s="320">
        <v>20195.71</v>
      </c>
      <c r="W16" s="58"/>
      <c r="X16" s="58">
        <f t="shared" si="23"/>
        <v>0</v>
      </c>
      <c r="Y16" s="58"/>
      <c r="Z16" s="58"/>
      <c r="AA16" s="58"/>
      <c r="AB16" s="58"/>
      <c r="AC16" s="58">
        <v>3100</v>
      </c>
      <c r="AD16" s="58"/>
      <c r="AE16" s="373">
        <f t="shared" si="20"/>
        <v>89</v>
      </c>
      <c r="AF16" s="373">
        <v>78</v>
      </c>
      <c r="AG16" s="373">
        <f>ROUND(2*D16,0)</f>
        <v>356</v>
      </c>
      <c r="AH16" s="58"/>
      <c r="AI16" s="373">
        <v>334</v>
      </c>
      <c r="AJ16" s="373">
        <v>5849</v>
      </c>
      <c r="AK16" s="58">
        <f>SUM(AC16:AJ16)</f>
        <v>9806</v>
      </c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>
        <v>18834.509999999998</v>
      </c>
      <c r="BE16" s="58">
        <v>13837</v>
      </c>
      <c r="BF16" s="58">
        <f t="shared" si="26"/>
        <v>129549.92</v>
      </c>
      <c r="BG16" s="370">
        <f t="shared" si="14"/>
        <v>727.81</v>
      </c>
      <c r="BH16" s="88" t="s">
        <v>69</v>
      </c>
      <c r="BI16" s="81">
        <f t="shared" ref="BI16:BJ20" si="27">U16+W16</f>
        <v>66876.7</v>
      </c>
      <c r="BJ16" s="81">
        <f t="shared" si="27"/>
        <v>20195.71</v>
      </c>
      <c r="BK16" s="81">
        <f t="shared" si="5"/>
        <v>0</v>
      </c>
      <c r="BL16" s="81">
        <f t="shared" si="16"/>
        <v>13837</v>
      </c>
      <c r="BM16" s="81">
        <f t="shared" si="17"/>
        <v>18834.509999999998</v>
      </c>
      <c r="BN16" s="81">
        <f t="shared" si="18"/>
        <v>9806</v>
      </c>
      <c r="BO16" s="91">
        <f t="shared" si="19"/>
        <v>129549.92</v>
      </c>
    </row>
    <row r="17" spans="1:67" ht="35.25" customHeight="1">
      <c r="A17" s="674"/>
      <c r="B17" s="674"/>
      <c r="C17" s="674"/>
      <c r="D17" s="142">
        <v>90</v>
      </c>
      <c r="E17" s="88" t="s">
        <v>74</v>
      </c>
      <c r="F17" s="58">
        <f>ROUND((U17+V17)/D17,2)</f>
        <v>1104.82</v>
      </c>
      <c r="G17" s="58">
        <f t="shared" si="24"/>
        <v>0</v>
      </c>
      <c r="H17" s="58">
        <f t="shared" si="6"/>
        <v>1104.82</v>
      </c>
      <c r="I17" s="58">
        <f>ROUND((AK17-AJ17)/D17,2)</f>
        <v>15.81</v>
      </c>
      <c r="J17" s="58">
        <f t="shared" si="7"/>
        <v>0</v>
      </c>
      <c r="K17" s="58">
        <f t="shared" si="8"/>
        <v>0</v>
      </c>
      <c r="L17" s="58">
        <f t="shared" si="9"/>
        <v>0</v>
      </c>
      <c r="M17" s="153">
        <f>ROUND(BD17/D17,2)</f>
        <v>33.76</v>
      </c>
      <c r="N17" s="153">
        <f t="shared" si="10"/>
        <v>48.39</v>
      </c>
      <c r="O17" s="153">
        <f>ROUND(AJ17/D17,2)</f>
        <v>28.63</v>
      </c>
      <c r="P17" s="58">
        <f t="shared" si="11"/>
        <v>1231.4099999999999</v>
      </c>
      <c r="Q17" s="58">
        <f t="shared" si="12"/>
        <v>0</v>
      </c>
      <c r="R17" s="58">
        <f t="shared" si="13"/>
        <v>0</v>
      </c>
      <c r="S17" s="371">
        <f t="shared" si="25"/>
        <v>1231.4099999999999</v>
      </c>
      <c r="T17" s="88" t="s">
        <v>74</v>
      </c>
      <c r="U17" s="81">
        <v>76370</v>
      </c>
      <c r="V17" s="320">
        <v>23063.74</v>
      </c>
      <c r="W17" s="65"/>
      <c r="X17" s="58">
        <f t="shared" si="23"/>
        <v>0</v>
      </c>
      <c r="Y17" s="58"/>
      <c r="Z17" s="65"/>
      <c r="AA17" s="65"/>
      <c r="AB17" s="65"/>
      <c r="AC17" s="58">
        <v>833</v>
      </c>
      <c r="AD17" s="65"/>
      <c r="AE17" s="373">
        <f t="shared" si="20"/>
        <v>45</v>
      </c>
      <c r="AF17" s="373">
        <f t="shared" si="21"/>
        <v>90</v>
      </c>
      <c r="AG17" s="373">
        <v>100</v>
      </c>
      <c r="AH17" s="65"/>
      <c r="AI17" s="373">
        <v>355</v>
      </c>
      <c r="AJ17" s="373">
        <v>2577</v>
      </c>
      <c r="AK17" s="58">
        <f t="shared" si="22"/>
        <v>4000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>
        <v>3038.1</v>
      </c>
      <c r="BE17" s="65">
        <v>4355.29</v>
      </c>
      <c r="BF17" s="58">
        <f t="shared" si="26"/>
        <v>110827.13</v>
      </c>
      <c r="BG17" s="370">
        <f t="shared" si="14"/>
        <v>1231.4100000000001</v>
      </c>
      <c r="BH17" s="88" t="s">
        <v>74</v>
      </c>
      <c r="BI17" s="81">
        <f t="shared" si="27"/>
        <v>76370</v>
      </c>
      <c r="BJ17" s="81">
        <f t="shared" si="27"/>
        <v>23063.74</v>
      </c>
      <c r="BK17" s="81">
        <f t="shared" si="5"/>
        <v>0</v>
      </c>
      <c r="BL17" s="81">
        <f t="shared" si="16"/>
        <v>4355.29</v>
      </c>
      <c r="BM17" s="81">
        <f t="shared" si="17"/>
        <v>3038.1</v>
      </c>
      <c r="BN17" s="81">
        <f t="shared" si="18"/>
        <v>4000</v>
      </c>
      <c r="BO17" s="91">
        <f t="shared" si="19"/>
        <v>110827.13</v>
      </c>
    </row>
    <row r="18" spans="1:67" ht="31.5" customHeight="1">
      <c r="A18" s="674"/>
      <c r="B18" s="674"/>
      <c r="C18" s="674"/>
      <c r="D18" s="142">
        <v>165</v>
      </c>
      <c r="E18" s="88" t="s">
        <v>77</v>
      </c>
      <c r="F18" s="58">
        <f>ROUND((U18+V18)/D18,2)</f>
        <v>180.29</v>
      </c>
      <c r="G18" s="58">
        <f t="shared" si="24"/>
        <v>0</v>
      </c>
      <c r="H18" s="58">
        <f t="shared" si="6"/>
        <v>180.29</v>
      </c>
      <c r="I18" s="58">
        <f>ROUND((AK18-AJ18)/D18,2)</f>
        <v>62.85</v>
      </c>
      <c r="J18" s="58">
        <f t="shared" si="7"/>
        <v>0</v>
      </c>
      <c r="K18" s="58">
        <f t="shared" si="8"/>
        <v>0</v>
      </c>
      <c r="L18" s="58">
        <f t="shared" si="9"/>
        <v>0</v>
      </c>
      <c r="M18" s="153">
        <f>ROUND(BD18/D18,2)</f>
        <v>127.28</v>
      </c>
      <c r="N18" s="153">
        <f t="shared" si="10"/>
        <v>80.61</v>
      </c>
      <c r="O18" s="153">
        <f>ROUND(AJ18/D18,2)</f>
        <v>51.23</v>
      </c>
      <c r="P18" s="58">
        <f t="shared" si="11"/>
        <v>502.26</v>
      </c>
      <c r="Q18" s="58">
        <f t="shared" si="12"/>
        <v>0</v>
      </c>
      <c r="R18" s="58">
        <f t="shared" si="13"/>
        <v>0</v>
      </c>
      <c r="S18" s="371">
        <f t="shared" si="25"/>
        <v>502.26</v>
      </c>
      <c r="T18" s="88" t="s">
        <v>77</v>
      </c>
      <c r="U18" s="81">
        <v>22848.75</v>
      </c>
      <c r="V18" s="320">
        <v>6899.59</v>
      </c>
      <c r="W18" s="65"/>
      <c r="X18" s="58">
        <f t="shared" si="23"/>
        <v>0</v>
      </c>
      <c r="Y18" s="58"/>
      <c r="Z18" s="65"/>
      <c r="AA18" s="65"/>
      <c r="AB18" s="65"/>
      <c r="AC18" s="58">
        <v>8854</v>
      </c>
      <c r="AD18" s="65"/>
      <c r="AE18" s="373">
        <v>166</v>
      </c>
      <c r="AF18" s="373">
        <v>332</v>
      </c>
      <c r="AG18" s="373">
        <v>664</v>
      </c>
      <c r="AH18" s="65"/>
      <c r="AI18" s="373">
        <v>355</v>
      </c>
      <c r="AJ18" s="373">
        <v>8452.2000000000007</v>
      </c>
      <c r="AK18" s="58">
        <f t="shared" si="22"/>
        <v>18823.2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>
        <v>21000.5</v>
      </c>
      <c r="BE18" s="65">
        <v>13300</v>
      </c>
      <c r="BF18" s="58">
        <f t="shared" si="26"/>
        <v>82872.040000000008</v>
      </c>
      <c r="BG18" s="370">
        <f t="shared" si="14"/>
        <v>502.25</v>
      </c>
      <c r="BH18" s="88" t="s">
        <v>77</v>
      </c>
      <c r="BI18" s="81">
        <f t="shared" si="27"/>
        <v>22848.75</v>
      </c>
      <c r="BJ18" s="81">
        <f t="shared" si="27"/>
        <v>6899.59</v>
      </c>
      <c r="BK18" s="81">
        <f t="shared" si="5"/>
        <v>0</v>
      </c>
      <c r="BL18" s="81">
        <f t="shared" si="16"/>
        <v>13300</v>
      </c>
      <c r="BM18" s="81">
        <f t="shared" si="17"/>
        <v>21000.5</v>
      </c>
      <c r="BN18" s="81">
        <f t="shared" si="18"/>
        <v>18823.2</v>
      </c>
      <c r="BO18" s="91">
        <f t="shared" si="19"/>
        <v>82872.039999999994</v>
      </c>
    </row>
    <row r="19" spans="1:67" ht="38.25" customHeight="1">
      <c r="A19" s="674"/>
      <c r="B19" s="674"/>
      <c r="C19" s="674"/>
      <c r="D19" s="142">
        <v>332</v>
      </c>
      <c r="E19" s="88" t="s">
        <v>78</v>
      </c>
      <c r="F19" s="58">
        <f>ROUND((U19+V19)/D19,2)</f>
        <v>446.15</v>
      </c>
      <c r="G19" s="58">
        <f t="shared" si="24"/>
        <v>0</v>
      </c>
      <c r="H19" s="58">
        <f t="shared" si="6"/>
        <v>446.15</v>
      </c>
      <c r="I19" s="58">
        <f>ROUND((AK19-AJ19)/D19,2)</f>
        <v>31.24</v>
      </c>
      <c r="J19" s="58">
        <f t="shared" si="7"/>
        <v>0</v>
      </c>
      <c r="K19" s="58">
        <f t="shared" si="8"/>
        <v>0</v>
      </c>
      <c r="L19" s="58">
        <f t="shared" si="9"/>
        <v>0</v>
      </c>
      <c r="M19" s="153">
        <f>ROUND(BD19/D19,2)</f>
        <v>125.97</v>
      </c>
      <c r="N19" s="153">
        <f t="shared" si="10"/>
        <v>80</v>
      </c>
      <c r="O19" s="153">
        <f>ROUND(AJ19/D19,2)</f>
        <v>25.46</v>
      </c>
      <c r="P19" s="58">
        <f t="shared" si="11"/>
        <v>708.81999999999994</v>
      </c>
      <c r="Q19" s="58">
        <f t="shared" si="12"/>
        <v>0</v>
      </c>
      <c r="R19" s="58">
        <f t="shared" si="13"/>
        <v>0</v>
      </c>
      <c r="S19" s="371">
        <f t="shared" si="25"/>
        <v>708.81999999999994</v>
      </c>
      <c r="T19" s="88" t="s">
        <v>78</v>
      </c>
      <c r="U19" s="81">
        <v>113765</v>
      </c>
      <c r="V19" s="320">
        <v>34358</v>
      </c>
      <c r="W19" s="65"/>
      <c r="X19" s="58">
        <f t="shared" si="23"/>
        <v>0</v>
      </c>
      <c r="Y19" s="58"/>
      <c r="Z19" s="65"/>
      <c r="AA19" s="65"/>
      <c r="AB19" s="65"/>
      <c r="AC19" s="58">
        <f>ROUND(26.67*D19,0)</f>
        <v>8854</v>
      </c>
      <c r="AD19" s="65"/>
      <c r="AE19" s="373">
        <f t="shared" si="20"/>
        <v>166</v>
      </c>
      <c r="AF19" s="373">
        <f t="shared" si="21"/>
        <v>332</v>
      </c>
      <c r="AG19" s="373">
        <f>ROUND(2*D19,0)</f>
        <v>664</v>
      </c>
      <c r="AH19" s="65"/>
      <c r="AI19" s="373">
        <v>355</v>
      </c>
      <c r="AJ19" s="373">
        <v>8452.2000000000007</v>
      </c>
      <c r="AK19" s="58">
        <f t="shared" si="22"/>
        <v>18823.2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>
        <v>41822.5</v>
      </c>
      <c r="BE19" s="65">
        <v>26560</v>
      </c>
      <c r="BF19" s="58">
        <f t="shared" si="26"/>
        <v>235328.7</v>
      </c>
      <c r="BG19" s="370">
        <f t="shared" si="14"/>
        <v>708.82</v>
      </c>
      <c r="BH19" s="88" t="s">
        <v>78</v>
      </c>
      <c r="BI19" s="81">
        <f t="shared" si="27"/>
        <v>113765</v>
      </c>
      <c r="BJ19" s="81">
        <f t="shared" si="27"/>
        <v>34358</v>
      </c>
      <c r="BK19" s="81">
        <f t="shared" si="5"/>
        <v>0</v>
      </c>
      <c r="BL19" s="81">
        <f t="shared" si="16"/>
        <v>26560</v>
      </c>
      <c r="BM19" s="81">
        <f t="shared" si="17"/>
        <v>41822.5</v>
      </c>
      <c r="BN19" s="81">
        <f t="shared" si="18"/>
        <v>18823.2</v>
      </c>
      <c r="BO19" s="91">
        <f t="shared" si="19"/>
        <v>235328.7</v>
      </c>
    </row>
    <row r="20" spans="1:67" ht="39" customHeight="1">
      <c r="A20" s="716"/>
      <c r="B20" s="716"/>
      <c r="C20" s="716"/>
      <c r="D20" s="142">
        <v>30</v>
      </c>
      <c r="E20" s="88" t="s">
        <v>81</v>
      </c>
      <c r="F20" s="58">
        <f>ROUND((U20+V20)/D20,2)</f>
        <v>520.79999999999995</v>
      </c>
      <c r="G20" s="58">
        <f t="shared" si="24"/>
        <v>0</v>
      </c>
      <c r="H20" s="58">
        <f t="shared" si="6"/>
        <v>520.79999999999995</v>
      </c>
      <c r="I20" s="58">
        <f>ROUND((AK20-AJ20)/D20,2)</f>
        <v>0</v>
      </c>
      <c r="J20" s="58">
        <f t="shared" si="7"/>
        <v>0</v>
      </c>
      <c r="K20" s="58">
        <f t="shared" si="8"/>
        <v>0</v>
      </c>
      <c r="L20" s="58">
        <f t="shared" si="9"/>
        <v>0</v>
      </c>
      <c r="M20" s="153">
        <f>ROUND(BD20/D20,2)</f>
        <v>85.97</v>
      </c>
      <c r="N20" s="153">
        <f t="shared" si="10"/>
        <v>442.54</v>
      </c>
      <c r="O20" s="153">
        <f>ROUND(AJ20/D20,2)</f>
        <v>0</v>
      </c>
      <c r="P20" s="58">
        <f t="shared" si="11"/>
        <v>1049.31</v>
      </c>
      <c r="Q20" s="58">
        <f t="shared" si="12"/>
        <v>0</v>
      </c>
      <c r="R20" s="58">
        <f t="shared" si="13"/>
        <v>0</v>
      </c>
      <c r="S20" s="371">
        <f t="shared" si="25"/>
        <v>1049.31</v>
      </c>
      <c r="T20" s="88" t="s">
        <v>81</v>
      </c>
      <c r="U20" s="81">
        <v>12000</v>
      </c>
      <c r="V20" s="320">
        <f>ROUND(U20*0.302,0)</f>
        <v>3624</v>
      </c>
      <c r="W20" s="65"/>
      <c r="X20" s="58">
        <f t="shared" si="23"/>
        <v>0</v>
      </c>
      <c r="Y20" s="58"/>
      <c r="Z20" s="65"/>
      <c r="AA20" s="65"/>
      <c r="AB20" s="65"/>
      <c r="AC20" s="58"/>
      <c r="AD20" s="65"/>
      <c r="AE20" s="373"/>
      <c r="AF20" s="373"/>
      <c r="AG20" s="373"/>
      <c r="AH20" s="65"/>
      <c r="AI20" s="373"/>
      <c r="AJ20" s="373"/>
      <c r="AK20" s="58">
        <f t="shared" si="22"/>
        <v>0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>
        <v>2578.98</v>
      </c>
      <c r="BE20" s="65">
        <v>13276.25</v>
      </c>
      <c r="BF20" s="58">
        <f t="shared" si="26"/>
        <v>31479.23</v>
      </c>
      <c r="BG20" s="370">
        <f t="shared" si="14"/>
        <v>1049.31</v>
      </c>
      <c r="BH20" s="88" t="s">
        <v>81</v>
      </c>
      <c r="BI20" s="81">
        <f t="shared" si="27"/>
        <v>12000</v>
      </c>
      <c r="BJ20" s="81">
        <f t="shared" si="27"/>
        <v>3624</v>
      </c>
      <c r="BK20" s="81">
        <f t="shared" si="5"/>
        <v>0</v>
      </c>
      <c r="BL20" s="81">
        <f t="shared" si="16"/>
        <v>13276.25</v>
      </c>
      <c r="BM20" s="81">
        <f t="shared" si="17"/>
        <v>2578.98</v>
      </c>
      <c r="BN20" s="81">
        <f t="shared" si="18"/>
        <v>0</v>
      </c>
      <c r="BO20" s="91">
        <f t="shared" si="19"/>
        <v>31479.23</v>
      </c>
    </row>
    <row r="21" spans="1:67" ht="16.5" customHeight="1">
      <c r="A21" s="439"/>
      <c r="B21" s="439"/>
      <c r="C21" s="439"/>
      <c r="D21" s="119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441"/>
      <c r="P21" s="189"/>
      <c r="Q21" s="189"/>
      <c r="R21" s="189"/>
      <c r="S21" s="442"/>
      <c r="T21" s="440"/>
      <c r="U21" s="178"/>
      <c r="V21" s="189"/>
      <c r="W21" s="178"/>
      <c r="X21" s="189"/>
      <c r="Y21" s="189"/>
      <c r="Z21" s="178"/>
      <c r="AA21" s="178"/>
      <c r="AB21" s="178"/>
      <c r="AC21" s="189"/>
      <c r="AD21" s="178"/>
      <c r="AE21" s="443"/>
      <c r="AF21" s="443"/>
      <c r="AG21" s="443"/>
      <c r="AH21" s="178"/>
      <c r="AI21" s="443"/>
      <c r="AJ21" s="443"/>
      <c r="AK21" s="189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89"/>
      <c r="BG21" s="444"/>
      <c r="BH21" s="440"/>
      <c r="BI21" s="188"/>
      <c r="BJ21" s="188"/>
      <c r="BK21" s="188"/>
      <c r="BL21" s="188"/>
      <c r="BM21" s="188"/>
      <c r="BN21" s="188"/>
      <c r="BO21" s="445"/>
    </row>
    <row r="22" spans="1:67" ht="16.5" customHeight="1">
      <c r="A22" s="439"/>
      <c r="B22" s="439"/>
      <c r="C22" s="439"/>
      <c r="D22" s="119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441"/>
      <c r="P22" s="189"/>
      <c r="Q22" s="189"/>
      <c r="R22" s="189"/>
      <c r="S22" s="442"/>
      <c r="T22" s="440"/>
      <c r="U22" s="178"/>
      <c r="V22" s="189"/>
      <c r="W22" s="178"/>
      <c r="X22" s="189"/>
      <c r="Y22" s="189"/>
      <c r="Z22" s="178"/>
      <c r="AA22" s="178"/>
      <c r="AB22" s="178"/>
      <c r="AC22" s="189"/>
      <c r="AD22" s="178"/>
      <c r="AE22" s="443"/>
      <c r="AF22" s="443"/>
      <c r="AG22" s="443"/>
      <c r="AH22" s="178"/>
      <c r="AI22" s="443"/>
      <c r="AJ22" s="443"/>
      <c r="AK22" s="189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89"/>
      <c r="BG22" s="444"/>
      <c r="BH22" s="440"/>
      <c r="BI22" s="188"/>
      <c r="BJ22" s="188"/>
      <c r="BK22" s="188"/>
      <c r="BL22" s="188"/>
      <c r="BM22" s="188"/>
      <c r="BN22" s="188"/>
      <c r="BO22" s="445"/>
    </row>
    <row r="23" spans="1:67" ht="30.75" customHeight="1">
      <c r="A23" s="756" t="s">
        <v>371</v>
      </c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6"/>
      <c r="N23" s="756"/>
      <c r="O23" s="756"/>
      <c r="P23" s="756"/>
      <c r="Q23" s="756"/>
      <c r="R23" s="756"/>
    </row>
    <row r="24" spans="1:67" s="374" customFormat="1" ht="31.5">
      <c r="A24" s="380" t="s">
        <v>364</v>
      </c>
      <c r="B24" s="381"/>
      <c r="C24" s="381"/>
      <c r="D24" s="382">
        <f>SUM(D25:D37)</f>
        <v>9170</v>
      </c>
      <c r="E24" s="381"/>
      <c r="F24" s="383">
        <f>ROUND((U24+V24)/D24,3)</f>
        <v>146.066</v>
      </c>
      <c r="G24" s="383">
        <f>ROUND((W24+X24)/D24,3)</f>
        <v>0</v>
      </c>
      <c r="H24" s="383">
        <f>F24+G24</f>
        <v>146.066</v>
      </c>
      <c r="I24" s="383">
        <f>ROUND((AK24-AJ24)/D24,3)</f>
        <v>14.548</v>
      </c>
      <c r="J24" s="383">
        <f>ROUND((AL24+AM24+AN24+AP24+AQ24)/D24,2)</f>
        <v>0</v>
      </c>
      <c r="K24" s="383">
        <f>ROUND((AR24+AS24+AT24+AU24+AV24)/D24,2)</f>
        <v>0</v>
      </c>
      <c r="L24" s="383">
        <f>ROUND((AY24+AZ24)/D24,2)</f>
        <v>0</v>
      </c>
      <c r="M24" s="384">
        <f>ROUND(BD24/D24,2)</f>
        <v>0</v>
      </c>
      <c r="N24" s="384">
        <f>ROUND(BE24/D24,3)</f>
        <v>2.1139999999999999</v>
      </c>
      <c r="O24" s="384">
        <f>ROUND(AJ24/D24,3)</f>
        <v>0.34399999999999997</v>
      </c>
      <c r="P24" s="383">
        <f>O24+N24+M24+L24+K24+J24+I24+H24</f>
        <v>163.072</v>
      </c>
      <c r="Q24" s="383">
        <f>ROUND((Z24+AA24+AB24)/D24,2)</f>
        <v>0</v>
      </c>
      <c r="R24" s="383">
        <f>ROUND(AW24/D24,2)</f>
        <v>0</v>
      </c>
      <c r="S24" s="383">
        <f>P24+Q24+R24</f>
        <v>163.072</v>
      </c>
      <c r="T24" s="381"/>
      <c r="U24" s="383">
        <f>SUM(U25:U37)</f>
        <v>1029474.84</v>
      </c>
      <c r="V24" s="383">
        <f t="shared" ref="V24:BF24" si="28">SUM(V25:V37)</f>
        <v>309946.49</v>
      </c>
      <c r="W24" s="383">
        <f t="shared" si="28"/>
        <v>0</v>
      </c>
      <c r="X24" s="383">
        <f t="shared" si="28"/>
        <v>0</v>
      </c>
      <c r="Y24" s="383"/>
      <c r="Z24" s="383">
        <f t="shared" si="28"/>
        <v>0</v>
      </c>
      <c r="AA24" s="383">
        <f t="shared" si="28"/>
        <v>0</v>
      </c>
      <c r="AB24" s="383">
        <f t="shared" si="28"/>
        <v>0</v>
      </c>
      <c r="AC24" s="383">
        <f t="shared" si="28"/>
        <v>24710</v>
      </c>
      <c r="AD24" s="383">
        <f t="shared" si="28"/>
        <v>0</v>
      </c>
      <c r="AE24" s="383">
        <f t="shared" si="28"/>
        <v>0</v>
      </c>
      <c r="AF24" s="383">
        <f t="shared" si="28"/>
        <v>0</v>
      </c>
      <c r="AG24" s="383">
        <f t="shared" si="28"/>
        <v>0</v>
      </c>
      <c r="AH24" s="383">
        <f t="shared" si="28"/>
        <v>108698</v>
      </c>
      <c r="AI24" s="383">
        <f t="shared" si="28"/>
        <v>0</v>
      </c>
      <c r="AJ24" s="383">
        <f t="shared" si="28"/>
        <v>3157.5</v>
      </c>
      <c r="AK24" s="383">
        <f t="shared" si="28"/>
        <v>136565.5</v>
      </c>
      <c r="AL24" s="383">
        <f t="shared" si="28"/>
        <v>0</v>
      </c>
      <c r="AM24" s="383">
        <f t="shared" si="28"/>
        <v>0</v>
      </c>
      <c r="AN24" s="383">
        <f t="shared" si="28"/>
        <v>0</v>
      </c>
      <c r="AO24" s="383">
        <f t="shared" si="28"/>
        <v>0</v>
      </c>
      <c r="AP24" s="383">
        <f t="shared" si="28"/>
        <v>0</v>
      </c>
      <c r="AQ24" s="383">
        <f t="shared" si="28"/>
        <v>0</v>
      </c>
      <c r="AR24" s="383">
        <f t="shared" si="28"/>
        <v>0</v>
      </c>
      <c r="AS24" s="383">
        <f t="shared" si="28"/>
        <v>0</v>
      </c>
      <c r="AT24" s="383">
        <f t="shared" si="28"/>
        <v>0</v>
      </c>
      <c r="AU24" s="383">
        <f t="shared" si="28"/>
        <v>0</v>
      </c>
      <c r="AV24" s="383">
        <f t="shared" si="28"/>
        <v>0</v>
      </c>
      <c r="AW24" s="383">
        <f t="shared" si="28"/>
        <v>0</v>
      </c>
      <c r="AX24" s="383">
        <f t="shared" si="28"/>
        <v>0</v>
      </c>
      <c r="AY24" s="383">
        <f t="shared" si="28"/>
        <v>0</v>
      </c>
      <c r="AZ24" s="383">
        <f t="shared" si="28"/>
        <v>0</v>
      </c>
      <c r="BA24" s="383">
        <f t="shared" si="28"/>
        <v>0</v>
      </c>
      <c r="BB24" s="383">
        <f t="shared" si="28"/>
        <v>0</v>
      </c>
      <c r="BC24" s="383">
        <f t="shared" si="28"/>
        <v>0</v>
      </c>
      <c r="BD24" s="383">
        <f t="shared" si="28"/>
        <v>0</v>
      </c>
      <c r="BE24" s="383">
        <f t="shared" si="28"/>
        <v>19386.5</v>
      </c>
      <c r="BF24" s="383">
        <f t="shared" si="28"/>
        <v>1495373.3299999998</v>
      </c>
      <c r="BG24" s="383">
        <f t="shared" ref="BG24:BG37" si="29">ROUND(BF24/D24,2)</f>
        <v>163.07</v>
      </c>
      <c r="BH24" s="383"/>
      <c r="BI24" s="383">
        <f t="shared" ref="BI24:BO24" si="30">SUM(BI25:BI37)</f>
        <v>1029474.84</v>
      </c>
      <c r="BJ24" s="383">
        <f t="shared" si="30"/>
        <v>309946.49</v>
      </c>
      <c r="BK24" s="383">
        <f t="shared" si="30"/>
        <v>0</v>
      </c>
      <c r="BL24" s="383">
        <f t="shared" si="30"/>
        <v>19386.5</v>
      </c>
      <c r="BM24" s="383">
        <f t="shared" si="30"/>
        <v>0</v>
      </c>
      <c r="BN24" s="383">
        <f t="shared" si="30"/>
        <v>136565.5</v>
      </c>
      <c r="BO24" s="383">
        <f t="shared" si="30"/>
        <v>1495373.3299999998</v>
      </c>
    </row>
    <row r="25" spans="1:67" ht="99.75" customHeight="1">
      <c r="A25" s="759" t="s">
        <v>376</v>
      </c>
      <c r="B25" s="763" t="s">
        <v>365</v>
      </c>
      <c r="C25" s="759" t="s">
        <v>370</v>
      </c>
      <c r="D25" s="64">
        <v>769</v>
      </c>
      <c r="E25" s="93" t="s">
        <v>109</v>
      </c>
      <c r="F25" s="58">
        <f>ROUND((U25+V25)/D25,3)</f>
        <v>202.39400000000001</v>
      </c>
      <c r="G25" s="58">
        <f>ROUND((W25+X25)/D25,3)</f>
        <v>0</v>
      </c>
      <c r="H25" s="58">
        <f>F25+G25</f>
        <v>202.39400000000001</v>
      </c>
      <c r="I25" s="58">
        <f>ROUND((AK25-AJ25)/D25,2)</f>
        <v>14.18</v>
      </c>
      <c r="J25" s="58">
        <f>ROUND((AL25+AM25+AN25+AP25+AQ25)/D25,2)</f>
        <v>0</v>
      </c>
      <c r="K25" s="58">
        <f>ROUND((AR25+AS25+AT25+AU25+AV25)/D25,2)</f>
        <v>0</v>
      </c>
      <c r="L25" s="58">
        <f>ROUND((AY25+AZ25)/D25,2)</f>
        <v>0</v>
      </c>
      <c r="M25" s="153">
        <f>ROUND(BD25/D25,2)</f>
        <v>0</v>
      </c>
      <c r="N25" s="153">
        <f>ROUND(BE25/D25,2)</f>
        <v>2.29</v>
      </c>
      <c r="O25" s="153">
        <f>ROUND(AJ25/D25,2)</f>
        <v>0.31</v>
      </c>
      <c r="P25" s="58">
        <f>O25+N25+M25+L25+K25+J25+I25+H25</f>
        <v>219.17400000000001</v>
      </c>
      <c r="Q25" s="58">
        <f>ROUND((Z25+AA25+AB25)/D25,2)</f>
        <v>0</v>
      </c>
      <c r="R25" s="58">
        <f>ROUND(AW25/D25,2)</f>
        <v>0</v>
      </c>
      <c r="S25" s="371">
        <f>P25+Q25+R25</f>
        <v>219.17400000000001</v>
      </c>
      <c r="T25" s="93" t="s">
        <v>109</v>
      </c>
      <c r="U25" s="58">
        <v>119540</v>
      </c>
      <c r="V25" s="58">
        <v>36101</v>
      </c>
      <c r="W25" s="58"/>
      <c r="X25" s="58"/>
      <c r="Y25" s="58"/>
      <c r="Z25" s="58"/>
      <c r="AA25" s="58"/>
      <c r="AB25" s="58"/>
      <c r="AC25" s="58">
        <v>2307</v>
      </c>
      <c r="AD25" s="58"/>
      <c r="AE25" s="58"/>
      <c r="AF25" s="43"/>
      <c r="AG25" s="58"/>
      <c r="AH25" s="58">
        <v>8599</v>
      </c>
      <c r="AI25" s="58"/>
      <c r="AJ25" s="373">
        <v>239.5</v>
      </c>
      <c r="AK25" s="58">
        <f>SUM(AC25:AJ25)</f>
        <v>11145.5</v>
      </c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>
        <v>1758.5</v>
      </c>
      <c r="BF25" s="58">
        <f t="shared" ref="BF25:BF37" si="31">U25+V25+W25+X25+Z25+AA25+AB25+AK25+AL25+AM25+AN25+AP25+AR25+AS25+AT25+AU25+AV25+AW25+AX25+AY25+AZ25+BA25+BB25+BC25+BD25+BE25+AO25</f>
        <v>168545</v>
      </c>
      <c r="BG25" s="370">
        <f t="shared" si="29"/>
        <v>219.17</v>
      </c>
      <c r="BH25" s="93" t="s">
        <v>109</v>
      </c>
      <c r="BI25" s="81">
        <f t="shared" ref="BI25:BI37" si="32">U25+W25</f>
        <v>119540</v>
      </c>
      <c r="BJ25" s="81">
        <f t="shared" ref="BJ25:BJ37" si="33">V25+X25</f>
        <v>36101</v>
      </c>
      <c r="BK25" s="81">
        <f t="shared" ref="BK25:BK37" si="34">Z25+AA25+AB25</f>
        <v>0</v>
      </c>
      <c r="BL25" s="81">
        <f t="shared" ref="BL25:BL37" si="35">BE25</f>
        <v>1758.5</v>
      </c>
      <c r="BM25" s="81">
        <f t="shared" ref="BM25:BM37" si="36">BD25</f>
        <v>0</v>
      </c>
      <c r="BN25" s="81">
        <f t="shared" ref="BN25:BN37" si="37">AK25+AL25+AM25+AN25+AO25+AP25+AQ25+AR25+AS25+AT25+AU25+AV25+AW25+AX25+AY25+AZ25+BA25+BB25+BC25</f>
        <v>11145.5</v>
      </c>
      <c r="BO25" s="91">
        <f t="shared" ref="BO25:BO37" si="38">BI25+BJ25+BK25+BL25+BM25+BN25</f>
        <v>168545</v>
      </c>
    </row>
    <row r="26" spans="1:67" ht="41.25" customHeight="1">
      <c r="A26" s="760"/>
      <c r="B26" s="760"/>
      <c r="C26" s="760"/>
      <c r="D26" s="314">
        <v>0</v>
      </c>
      <c r="E26" s="93" t="s">
        <v>69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605">
        <v>0</v>
      </c>
      <c r="T26" s="93" t="s">
        <v>69</v>
      </c>
      <c r="U26" s="58">
        <v>0</v>
      </c>
      <c r="V26" s="58">
        <v>0</v>
      </c>
      <c r="W26" s="58"/>
      <c r="X26" s="58"/>
      <c r="Y26" s="58"/>
      <c r="Z26" s="58"/>
      <c r="AA26" s="58"/>
      <c r="AB26" s="58"/>
      <c r="AC26" s="58"/>
      <c r="AD26" s="58"/>
      <c r="AE26" s="58"/>
      <c r="AF26" s="43"/>
      <c r="AG26" s="58"/>
      <c r="AH26" s="58"/>
      <c r="AI26" s="58"/>
      <c r="AJ26" s="373"/>
      <c r="AK26" s="58">
        <f t="shared" ref="AK26:AK37" si="39">SUM(AC26:AJ26)</f>
        <v>0</v>
      </c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>
        <v>0</v>
      </c>
      <c r="BF26" s="58">
        <f t="shared" si="31"/>
        <v>0</v>
      </c>
      <c r="BG26" s="370" t="e">
        <f t="shared" si="29"/>
        <v>#DIV/0!</v>
      </c>
      <c r="BH26" s="93" t="s">
        <v>69</v>
      </c>
      <c r="BI26" s="81">
        <f t="shared" si="32"/>
        <v>0</v>
      </c>
      <c r="BJ26" s="81">
        <f t="shared" si="33"/>
        <v>0</v>
      </c>
      <c r="BK26" s="81">
        <f t="shared" si="34"/>
        <v>0</v>
      </c>
      <c r="BL26" s="81">
        <f t="shared" si="35"/>
        <v>0</v>
      </c>
      <c r="BM26" s="81">
        <f t="shared" si="36"/>
        <v>0</v>
      </c>
      <c r="BN26" s="81">
        <f t="shared" si="37"/>
        <v>0</v>
      </c>
      <c r="BO26" s="91">
        <f t="shared" si="38"/>
        <v>0</v>
      </c>
    </row>
    <row r="27" spans="1:67" ht="56.25" customHeight="1">
      <c r="A27" s="760"/>
      <c r="B27" s="760"/>
      <c r="C27" s="760"/>
      <c r="D27" s="64">
        <v>600</v>
      </c>
      <c r="E27" s="93" t="s">
        <v>88</v>
      </c>
      <c r="F27" s="58">
        <f t="shared" ref="F27:F36" si="40">ROUND((U27+V27)/D27,3)</f>
        <v>327.976</v>
      </c>
      <c r="G27" s="58">
        <f t="shared" ref="G27:G36" si="41">ROUND((W27+X27)/D27,3)</f>
        <v>0</v>
      </c>
      <c r="H27" s="58">
        <f t="shared" ref="H27:H36" si="42">F27+G27</f>
        <v>327.976</v>
      </c>
      <c r="I27" s="58">
        <f t="shared" ref="I27:I36" si="43">ROUND((AK27-AJ27)/D27,2)</f>
        <v>0</v>
      </c>
      <c r="J27" s="58">
        <f t="shared" ref="J27:J36" si="44">ROUND((AL27+AM27+AN27+AP27+AQ27)/D27,2)</f>
        <v>0</v>
      </c>
      <c r="K27" s="58">
        <f t="shared" ref="K27:K36" si="45">ROUND((AR27+AS27+AT27+AU27+AV27)/D27,2)</f>
        <v>0</v>
      </c>
      <c r="L27" s="58">
        <f t="shared" ref="L27:L36" si="46">ROUND((AY27+AZ27)/D27,2)</f>
        <v>0</v>
      </c>
      <c r="M27" s="153">
        <f t="shared" ref="M27:M36" si="47">ROUND(BD27/D27,2)</f>
        <v>0</v>
      </c>
      <c r="N27" s="153">
        <f t="shared" ref="N27:N36" si="48">ROUND(BE27/D27,2)</f>
        <v>0</v>
      </c>
      <c r="O27" s="153">
        <f t="shared" ref="O27:O36" si="49">ROUND(AJ27/D27,2)</f>
        <v>0</v>
      </c>
      <c r="P27" s="58">
        <f t="shared" ref="P27:P36" si="50">O27+N27+M27+L27+K27+J27+I27+H27</f>
        <v>327.976</v>
      </c>
      <c r="Q27" s="58">
        <f t="shared" ref="Q27:Q36" si="51">ROUND((Z27+AA27+AB27)/D27,2)</f>
        <v>0</v>
      </c>
      <c r="R27" s="58">
        <f t="shared" ref="R27:R36" si="52">ROUND(AW27/D27,2)</f>
        <v>0</v>
      </c>
      <c r="S27" s="371">
        <f t="shared" ref="S27:S36" si="53">P27+Q27+R27</f>
        <v>327.976</v>
      </c>
      <c r="T27" s="93" t="s">
        <v>88</v>
      </c>
      <c r="U27" s="58">
        <v>151139.85999999999</v>
      </c>
      <c r="V27" s="58">
        <v>45645.87</v>
      </c>
      <c r="W27" s="58"/>
      <c r="X27" s="58"/>
      <c r="Y27" s="58"/>
      <c r="Z27" s="58"/>
      <c r="AA27" s="58"/>
      <c r="AB27" s="58"/>
      <c r="AC27" s="58"/>
      <c r="AD27" s="58"/>
      <c r="AE27" s="58"/>
      <c r="AF27" s="43"/>
      <c r="AG27" s="58"/>
      <c r="AH27" s="58"/>
      <c r="AI27" s="58"/>
      <c r="AJ27" s="373"/>
      <c r="AK27" s="58">
        <f t="shared" si="39"/>
        <v>0</v>
      </c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>
        <v>0</v>
      </c>
      <c r="BF27" s="58">
        <f t="shared" si="31"/>
        <v>196785.72999999998</v>
      </c>
      <c r="BG27" s="370">
        <f t="shared" si="29"/>
        <v>327.98</v>
      </c>
      <c r="BH27" s="93" t="s">
        <v>88</v>
      </c>
      <c r="BI27" s="81">
        <f t="shared" si="32"/>
        <v>151139.85999999999</v>
      </c>
      <c r="BJ27" s="81">
        <f t="shared" si="33"/>
        <v>45645.87</v>
      </c>
      <c r="BK27" s="81">
        <f t="shared" si="34"/>
        <v>0</v>
      </c>
      <c r="BL27" s="81">
        <f t="shared" si="35"/>
        <v>0</v>
      </c>
      <c r="BM27" s="81">
        <f t="shared" si="36"/>
        <v>0</v>
      </c>
      <c r="BN27" s="81">
        <f t="shared" si="37"/>
        <v>0</v>
      </c>
      <c r="BO27" s="91">
        <f t="shared" si="38"/>
        <v>196785.72999999998</v>
      </c>
    </row>
    <row r="28" spans="1:67" ht="44.25" customHeight="1">
      <c r="A28" s="760"/>
      <c r="B28" s="760"/>
      <c r="C28" s="760"/>
      <c r="D28" s="314">
        <v>417</v>
      </c>
      <c r="E28" s="88" t="s">
        <v>211</v>
      </c>
      <c r="F28" s="58">
        <f t="shared" si="40"/>
        <v>257.58499999999998</v>
      </c>
      <c r="G28" s="58">
        <f t="shared" si="41"/>
        <v>0</v>
      </c>
      <c r="H28" s="58">
        <f t="shared" si="42"/>
        <v>257.58499999999998</v>
      </c>
      <c r="I28" s="58">
        <f t="shared" si="43"/>
        <v>33.9</v>
      </c>
      <c r="J28" s="58">
        <f t="shared" si="44"/>
        <v>0</v>
      </c>
      <c r="K28" s="58">
        <f t="shared" si="45"/>
        <v>0</v>
      </c>
      <c r="L28" s="58">
        <f t="shared" si="46"/>
        <v>0</v>
      </c>
      <c r="M28" s="153">
        <f t="shared" si="47"/>
        <v>0</v>
      </c>
      <c r="N28" s="153">
        <f t="shared" si="48"/>
        <v>5.38</v>
      </c>
      <c r="O28" s="153">
        <f t="shared" si="49"/>
        <v>0.59</v>
      </c>
      <c r="P28" s="58">
        <f t="shared" si="50"/>
        <v>297.45499999999998</v>
      </c>
      <c r="Q28" s="58">
        <f t="shared" si="51"/>
        <v>0</v>
      </c>
      <c r="R28" s="58">
        <f t="shared" si="52"/>
        <v>0</v>
      </c>
      <c r="S28" s="371">
        <f t="shared" si="53"/>
        <v>297.45499999999998</v>
      </c>
      <c r="T28" s="88" t="s">
        <v>211</v>
      </c>
      <c r="U28" s="58">
        <v>82500</v>
      </c>
      <c r="V28" s="58">
        <v>24913</v>
      </c>
      <c r="W28" s="58"/>
      <c r="X28" s="58"/>
      <c r="Y28" s="58"/>
      <c r="Z28" s="58"/>
      <c r="AA28" s="58"/>
      <c r="AB28" s="58"/>
      <c r="AC28" s="58">
        <v>1251</v>
      </c>
      <c r="AD28" s="58"/>
      <c r="AE28" s="58"/>
      <c r="AF28" s="43"/>
      <c r="AG28" s="58"/>
      <c r="AH28" s="58">
        <v>12887</v>
      </c>
      <c r="AI28" s="58"/>
      <c r="AJ28" s="373">
        <v>247</v>
      </c>
      <c r="AK28" s="58">
        <f t="shared" si="39"/>
        <v>14385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>
        <v>2243</v>
      </c>
      <c r="BF28" s="58">
        <f t="shared" si="31"/>
        <v>124041</v>
      </c>
      <c r="BG28" s="370">
        <f t="shared" si="29"/>
        <v>297.45999999999998</v>
      </c>
      <c r="BH28" s="88" t="s">
        <v>211</v>
      </c>
      <c r="BI28" s="81">
        <f t="shared" si="32"/>
        <v>82500</v>
      </c>
      <c r="BJ28" s="81">
        <f t="shared" si="33"/>
        <v>24913</v>
      </c>
      <c r="BK28" s="81">
        <f t="shared" si="34"/>
        <v>0</v>
      </c>
      <c r="BL28" s="81">
        <f t="shared" si="35"/>
        <v>2243</v>
      </c>
      <c r="BM28" s="81">
        <f t="shared" si="36"/>
        <v>0</v>
      </c>
      <c r="BN28" s="81">
        <f t="shared" si="37"/>
        <v>14385</v>
      </c>
      <c r="BO28" s="91">
        <f t="shared" si="38"/>
        <v>124041</v>
      </c>
    </row>
    <row r="29" spans="1:67" ht="33.75" customHeight="1">
      <c r="A29" s="760"/>
      <c r="B29" s="760"/>
      <c r="C29" s="760"/>
      <c r="D29" s="314">
        <v>580</v>
      </c>
      <c r="E29" s="84" t="s">
        <v>77</v>
      </c>
      <c r="F29" s="58">
        <f t="shared" si="40"/>
        <v>126.35299999999999</v>
      </c>
      <c r="G29" s="58">
        <f t="shared" si="41"/>
        <v>0</v>
      </c>
      <c r="H29" s="58">
        <f t="shared" si="42"/>
        <v>126.35299999999999</v>
      </c>
      <c r="I29" s="58">
        <f>ROUND((AK29-AJ29)/D29,3)</f>
        <v>13.879</v>
      </c>
      <c r="J29" s="58">
        <f t="shared" si="44"/>
        <v>0</v>
      </c>
      <c r="K29" s="58">
        <f t="shared" si="45"/>
        <v>0</v>
      </c>
      <c r="L29" s="58">
        <f t="shared" si="46"/>
        <v>0</v>
      </c>
      <c r="M29" s="153">
        <f t="shared" si="47"/>
        <v>0</v>
      </c>
      <c r="N29" s="153">
        <f>ROUND(BE29/D29,3)</f>
        <v>2.2410000000000001</v>
      </c>
      <c r="O29" s="153">
        <f>ROUND(AJ29/D29,3)</f>
        <v>0.43099999999999999</v>
      </c>
      <c r="P29" s="58">
        <f t="shared" si="50"/>
        <v>142.904</v>
      </c>
      <c r="Q29" s="58">
        <f t="shared" si="51"/>
        <v>0</v>
      </c>
      <c r="R29" s="58">
        <f t="shared" si="52"/>
        <v>0</v>
      </c>
      <c r="S29" s="371">
        <f t="shared" si="53"/>
        <v>142.904</v>
      </c>
      <c r="T29" s="84" t="s">
        <v>77</v>
      </c>
      <c r="U29" s="58">
        <v>57020</v>
      </c>
      <c r="V29" s="58">
        <v>16265</v>
      </c>
      <c r="W29" s="58"/>
      <c r="X29" s="58"/>
      <c r="Y29" s="58"/>
      <c r="Z29" s="58"/>
      <c r="AA29" s="58"/>
      <c r="AB29" s="58"/>
      <c r="AC29" s="58">
        <v>1740</v>
      </c>
      <c r="AD29" s="58"/>
      <c r="AE29" s="58"/>
      <c r="AF29" s="43"/>
      <c r="AG29" s="58"/>
      <c r="AH29" s="58">
        <f>8300-1990</f>
        <v>6310</v>
      </c>
      <c r="AI29" s="58"/>
      <c r="AJ29" s="373">
        <v>250</v>
      </c>
      <c r="AK29" s="58">
        <f t="shared" si="39"/>
        <v>8300</v>
      </c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>
        <v>1300</v>
      </c>
      <c r="BF29" s="58">
        <f t="shared" si="31"/>
        <v>82885</v>
      </c>
      <c r="BG29" s="370">
        <f>ROUND(BF29/D29,2)</f>
        <v>142.91</v>
      </c>
      <c r="BH29" s="84" t="s">
        <v>77</v>
      </c>
      <c r="BI29" s="81">
        <f t="shared" si="32"/>
        <v>57020</v>
      </c>
      <c r="BJ29" s="81">
        <f t="shared" si="33"/>
        <v>16265</v>
      </c>
      <c r="BK29" s="81">
        <f t="shared" si="34"/>
        <v>0</v>
      </c>
      <c r="BL29" s="81">
        <f t="shared" si="35"/>
        <v>1300</v>
      </c>
      <c r="BM29" s="81">
        <f t="shared" si="36"/>
        <v>0</v>
      </c>
      <c r="BN29" s="81">
        <f t="shared" si="37"/>
        <v>8300</v>
      </c>
      <c r="BO29" s="91">
        <f t="shared" si="38"/>
        <v>82885</v>
      </c>
    </row>
    <row r="30" spans="1:67" ht="39" customHeight="1">
      <c r="A30" s="761"/>
      <c r="B30" s="761"/>
      <c r="C30" s="761"/>
      <c r="D30" s="314">
        <v>580</v>
      </c>
      <c r="E30" s="84" t="s">
        <v>78</v>
      </c>
      <c r="F30" s="58">
        <f t="shared" si="40"/>
        <v>112.15900000000001</v>
      </c>
      <c r="G30" s="58">
        <f t="shared" si="41"/>
        <v>0</v>
      </c>
      <c r="H30" s="58">
        <f t="shared" si="42"/>
        <v>112.15900000000001</v>
      </c>
      <c r="I30" s="58">
        <f t="shared" si="43"/>
        <v>41.95</v>
      </c>
      <c r="J30" s="58">
        <f t="shared" si="44"/>
        <v>0</v>
      </c>
      <c r="K30" s="58">
        <f t="shared" si="45"/>
        <v>0</v>
      </c>
      <c r="L30" s="58">
        <f t="shared" si="46"/>
        <v>0</v>
      </c>
      <c r="M30" s="153">
        <f t="shared" si="47"/>
        <v>0</v>
      </c>
      <c r="N30" s="153">
        <f t="shared" si="48"/>
        <v>2.25</v>
      </c>
      <c r="O30" s="153">
        <f t="shared" si="49"/>
        <v>0.98</v>
      </c>
      <c r="P30" s="58">
        <f t="shared" si="50"/>
        <v>157.339</v>
      </c>
      <c r="Q30" s="58">
        <f t="shared" si="51"/>
        <v>0</v>
      </c>
      <c r="R30" s="58">
        <f t="shared" si="52"/>
        <v>0</v>
      </c>
      <c r="S30" s="371">
        <f t="shared" si="53"/>
        <v>157.339</v>
      </c>
      <c r="T30" s="84" t="s">
        <v>78</v>
      </c>
      <c r="U30" s="58">
        <v>49963</v>
      </c>
      <c r="V30" s="58">
        <v>15089</v>
      </c>
      <c r="W30" s="58"/>
      <c r="X30" s="58"/>
      <c r="Y30" s="58"/>
      <c r="Z30" s="58"/>
      <c r="AA30" s="58"/>
      <c r="AB30" s="58"/>
      <c r="AC30" s="58">
        <v>1740</v>
      </c>
      <c r="AD30" s="58"/>
      <c r="AE30" s="58"/>
      <c r="AF30" s="43"/>
      <c r="AG30" s="58"/>
      <c r="AH30" s="58">
        <f>24903-2311</f>
        <v>22592</v>
      </c>
      <c r="AI30" s="58"/>
      <c r="AJ30" s="373">
        <v>571</v>
      </c>
      <c r="AK30" s="58">
        <f t="shared" si="39"/>
        <v>24903</v>
      </c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>
        <v>1305</v>
      </c>
      <c r="BF30" s="58">
        <f t="shared" si="31"/>
        <v>91260</v>
      </c>
      <c r="BG30" s="370">
        <f t="shared" si="29"/>
        <v>157.34</v>
      </c>
      <c r="BH30" s="84" t="s">
        <v>78</v>
      </c>
      <c r="BI30" s="81">
        <f t="shared" si="32"/>
        <v>49963</v>
      </c>
      <c r="BJ30" s="81">
        <f t="shared" si="33"/>
        <v>15089</v>
      </c>
      <c r="BK30" s="81">
        <f t="shared" si="34"/>
        <v>0</v>
      </c>
      <c r="BL30" s="81">
        <f t="shared" si="35"/>
        <v>1305</v>
      </c>
      <c r="BM30" s="81">
        <f t="shared" si="36"/>
        <v>0</v>
      </c>
      <c r="BN30" s="81">
        <f t="shared" si="37"/>
        <v>24903</v>
      </c>
      <c r="BO30" s="91">
        <f t="shared" si="38"/>
        <v>91260</v>
      </c>
    </row>
    <row r="31" spans="1:67" ht="55.5" customHeight="1">
      <c r="A31" s="761"/>
      <c r="B31" s="761"/>
      <c r="C31" s="761"/>
      <c r="D31" s="142">
        <v>1009</v>
      </c>
      <c r="E31" s="88" t="s">
        <v>87</v>
      </c>
      <c r="F31" s="58">
        <f t="shared" si="40"/>
        <v>154.94499999999999</v>
      </c>
      <c r="G31" s="58">
        <f t="shared" si="41"/>
        <v>0</v>
      </c>
      <c r="H31" s="58">
        <f t="shared" si="42"/>
        <v>154.94499999999999</v>
      </c>
      <c r="I31" s="58">
        <f>ROUND((AK31-AJ31)/D31,3)</f>
        <v>14.18</v>
      </c>
      <c r="J31" s="58">
        <f t="shared" si="44"/>
        <v>0</v>
      </c>
      <c r="K31" s="58">
        <f t="shared" si="45"/>
        <v>0</v>
      </c>
      <c r="L31" s="58">
        <f t="shared" si="46"/>
        <v>0</v>
      </c>
      <c r="M31" s="153">
        <f t="shared" si="47"/>
        <v>0</v>
      </c>
      <c r="N31" s="153">
        <f>ROUND(BE31/D31,3)</f>
        <v>2.25</v>
      </c>
      <c r="O31" s="153">
        <f>ROUND(AJ31/D31,3)</f>
        <v>0.248</v>
      </c>
      <c r="P31" s="58">
        <f t="shared" si="50"/>
        <v>171.62299999999999</v>
      </c>
      <c r="Q31" s="58">
        <f t="shared" si="51"/>
        <v>0</v>
      </c>
      <c r="R31" s="58">
        <f t="shared" si="52"/>
        <v>0</v>
      </c>
      <c r="S31" s="371">
        <f t="shared" si="53"/>
        <v>171.62299999999999</v>
      </c>
      <c r="T31" s="88" t="s">
        <v>87</v>
      </c>
      <c r="U31" s="65">
        <v>120077</v>
      </c>
      <c r="V31" s="58">
        <v>36263</v>
      </c>
      <c r="W31" s="65"/>
      <c r="X31" s="65"/>
      <c r="Y31" s="65"/>
      <c r="Z31" s="65"/>
      <c r="AA31" s="65"/>
      <c r="AB31" s="65"/>
      <c r="AC31" s="58">
        <v>3027</v>
      </c>
      <c r="AD31" s="65"/>
      <c r="AE31" s="65"/>
      <c r="AF31" s="43"/>
      <c r="AG31" s="65"/>
      <c r="AH31" s="58">
        <v>11281</v>
      </c>
      <c r="AI31" s="65"/>
      <c r="AJ31" s="373">
        <v>250</v>
      </c>
      <c r="AK31" s="58">
        <f t="shared" si="39"/>
        <v>14558</v>
      </c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>
        <v>2270</v>
      </c>
      <c r="BF31" s="58">
        <f t="shared" si="31"/>
        <v>173168</v>
      </c>
      <c r="BG31" s="370">
        <f t="shared" si="29"/>
        <v>171.62</v>
      </c>
      <c r="BH31" s="88" t="s">
        <v>87</v>
      </c>
      <c r="BI31" s="81">
        <f t="shared" si="32"/>
        <v>120077</v>
      </c>
      <c r="BJ31" s="81">
        <f t="shared" si="33"/>
        <v>36263</v>
      </c>
      <c r="BK31" s="81">
        <f t="shared" si="34"/>
        <v>0</v>
      </c>
      <c r="BL31" s="81">
        <f t="shared" si="35"/>
        <v>2270</v>
      </c>
      <c r="BM31" s="81">
        <f t="shared" si="36"/>
        <v>0</v>
      </c>
      <c r="BN31" s="81">
        <f t="shared" si="37"/>
        <v>14558</v>
      </c>
      <c r="BO31" s="91">
        <f t="shared" si="38"/>
        <v>173168</v>
      </c>
    </row>
    <row r="32" spans="1:67" ht="51" customHeight="1">
      <c r="A32" s="761"/>
      <c r="B32" s="761"/>
      <c r="C32" s="761"/>
      <c r="D32" s="142">
        <v>997</v>
      </c>
      <c r="E32" s="88" t="s">
        <v>80</v>
      </c>
      <c r="F32" s="58">
        <f>ROUND((U32+V32)/D32,3)</f>
        <v>76.424999999999997</v>
      </c>
      <c r="G32" s="58">
        <f>ROUND((W32+X32)/D32,3)</f>
        <v>0</v>
      </c>
      <c r="H32" s="58">
        <f>F32+G32</f>
        <v>76.424999999999997</v>
      </c>
      <c r="I32" s="58">
        <f>ROUND((AK32-AJ32)/D32,3)</f>
        <v>14.180999999999999</v>
      </c>
      <c r="J32" s="58">
        <f>ROUND((AL32+AM32+AN32+AP32+AQ32)/D32,2)</f>
        <v>0</v>
      </c>
      <c r="K32" s="58">
        <f>ROUND((AR32+AS32+AT32+AU32+AV32)/D32,2)</f>
        <v>0</v>
      </c>
      <c r="L32" s="58">
        <f>ROUND((AY32+AZ32)/D32,2)</f>
        <v>0</v>
      </c>
      <c r="M32" s="153">
        <f>ROUND(BD32/D32,2)</f>
        <v>0</v>
      </c>
      <c r="N32" s="153">
        <f>ROUND(BE32/D32,3)</f>
        <v>2.25</v>
      </c>
      <c r="O32" s="153">
        <f>ROUND(AJ32/D32,3)</f>
        <v>0.248</v>
      </c>
      <c r="P32" s="58">
        <f>O32+N32+M32+L32+K32+J32+I32+H32</f>
        <v>93.103999999999999</v>
      </c>
      <c r="Q32" s="58">
        <f>ROUND((Z32+AA32+AB32)/D32,2)</f>
        <v>0</v>
      </c>
      <c r="R32" s="58">
        <f>ROUND(AW32/D32,2)</f>
        <v>0</v>
      </c>
      <c r="S32" s="371">
        <f t="shared" si="53"/>
        <v>93.103999999999999</v>
      </c>
      <c r="T32" s="88" t="s">
        <v>80</v>
      </c>
      <c r="U32" s="65">
        <v>58522</v>
      </c>
      <c r="V32" s="58">
        <v>17674</v>
      </c>
      <c r="W32" s="65"/>
      <c r="X32" s="65"/>
      <c r="Y32" s="65"/>
      <c r="Z32" s="65"/>
      <c r="AA32" s="65"/>
      <c r="AB32" s="65"/>
      <c r="AC32" s="58">
        <v>2991</v>
      </c>
      <c r="AD32" s="65"/>
      <c r="AE32" s="65"/>
      <c r="AF32" s="43"/>
      <c r="AG32" s="65"/>
      <c r="AH32" s="58">
        <v>11147</v>
      </c>
      <c r="AI32" s="65"/>
      <c r="AJ32" s="373">
        <v>247</v>
      </c>
      <c r="AK32" s="58">
        <f t="shared" si="39"/>
        <v>14385</v>
      </c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>
        <v>2243</v>
      </c>
      <c r="BF32" s="58">
        <f t="shared" si="31"/>
        <v>92824</v>
      </c>
      <c r="BG32" s="370">
        <f t="shared" si="29"/>
        <v>93.1</v>
      </c>
      <c r="BH32" s="88" t="s">
        <v>80</v>
      </c>
      <c r="BI32" s="81">
        <f t="shared" si="32"/>
        <v>58522</v>
      </c>
      <c r="BJ32" s="81">
        <f t="shared" si="33"/>
        <v>17674</v>
      </c>
      <c r="BK32" s="81">
        <f t="shared" si="34"/>
        <v>0</v>
      </c>
      <c r="BL32" s="81">
        <f t="shared" si="35"/>
        <v>2243</v>
      </c>
      <c r="BM32" s="81">
        <f t="shared" si="36"/>
        <v>0</v>
      </c>
      <c r="BN32" s="81">
        <f t="shared" si="37"/>
        <v>14385</v>
      </c>
      <c r="BO32" s="91">
        <f t="shared" si="38"/>
        <v>92824</v>
      </c>
    </row>
    <row r="33" spans="1:67" ht="51" customHeight="1">
      <c r="A33" s="761"/>
      <c r="B33" s="761"/>
      <c r="C33" s="761"/>
      <c r="D33" s="142">
        <v>748</v>
      </c>
      <c r="E33" s="93" t="s">
        <v>86</v>
      </c>
      <c r="F33" s="58">
        <f t="shared" si="40"/>
        <v>108.623</v>
      </c>
      <c r="G33" s="58">
        <f t="shared" si="41"/>
        <v>0</v>
      </c>
      <c r="H33" s="58">
        <f t="shared" si="42"/>
        <v>108.623</v>
      </c>
      <c r="I33" s="58">
        <f t="shared" si="43"/>
        <v>11.91</v>
      </c>
      <c r="J33" s="58">
        <f t="shared" si="44"/>
        <v>0</v>
      </c>
      <c r="K33" s="58">
        <f t="shared" si="45"/>
        <v>0</v>
      </c>
      <c r="L33" s="58">
        <f t="shared" si="46"/>
        <v>0</v>
      </c>
      <c r="M33" s="153">
        <f t="shared" si="47"/>
        <v>0</v>
      </c>
      <c r="N33" s="153">
        <f t="shared" si="48"/>
        <v>1.68</v>
      </c>
      <c r="O33" s="153">
        <f t="shared" si="49"/>
        <v>0.82</v>
      </c>
      <c r="P33" s="58">
        <f t="shared" si="50"/>
        <v>123.033</v>
      </c>
      <c r="Q33" s="58">
        <f t="shared" si="51"/>
        <v>0</v>
      </c>
      <c r="R33" s="58">
        <f t="shared" si="52"/>
        <v>0</v>
      </c>
      <c r="S33" s="371">
        <f t="shared" si="53"/>
        <v>123.033</v>
      </c>
      <c r="T33" s="93" t="s">
        <v>86</v>
      </c>
      <c r="U33" s="65">
        <v>62404</v>
      </c>
      <c r="V33" s="58">
        <v>18846</v>
      </c>
      <c r="W33" s="65"/>
      <c r="X33" s="65"/>
      <c r="Y33" s="65"/>
      <c r="Z33" s="65"/>
      <c r="AA33" s="65"/>
      <c r="AB33" s="65"/>
      <c r="AC33" s="58">
        <v>2244</v>
      </c>
      <c r="AD33" s="65"/>
      <c r="AE33" s="65"/>
      <c r="AF33" s="43"/>
      <c r="AG33" s="65"/>
      <c r="AH33" s="58">
        <v>6668</v>
      </c>
      <c r="AI33" s="65"/>
      <c r="AJ33" s="373">
        <v>612</v>
      </c>
      <c r="AK33" s="58">
        <f t="shared" si="39"/>
        <v>9524</v>
      </c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>
        <v>1255</v>
      </c>
      <c r="BF33" s="58">
        <f t="shared" si="31"/>
        <v>92029</v>
      </c>
      <c r="BG33" s="370">
        <f t="shared" si="29"/>
        <v>123.03</v>
      </c>
      <c r="BH33" s="93" t="s">
        <v>86</v>
      </c>
      <c r="BI33" s="81">
        <f t="shared" ref="BI33:BJ35" si="54">U33+W33</f>
        <v>62404</v>
      </c>
      <c r="BJ33" s="81">
        <f t="shared" si="54"/>
        <v>18846</v>
      </c>
      <c r="BK33" s="81">
        <f>Z33+AA33+AB33</f>
        <v>0</v>
      </c>
      <c r="BL33" s="81">
        <f>BE33</f>
        <v>1255</v>
      </c>
      <c r="BM33" s="81">
        <f>BD33</f>
        <v>0</v>
      </c>
      <c r="BN33" s="81">
        <f>AK33+AL33+AM33+AN33+AO33+AP33+AQ33+AR33+AS33+AT33+AU33+AV33+AW33+AX33+AY33+AZ33+BA33+BB33+BC33</f>
        <v>9524</v>
      </c>
      <c r="BO33" s="91">
        <f>BI33+BJ33+BK33+BL33+BM33+BN33</f>
        <v>92029</v>
      </c>
    </row>
    <row r="34" spans="1:67" ht="51" customHeight="1">
      <c r="A34" s="761"/>
      <c r="B34" s="761"/>
      <c r="C34" s="761"/>
      <c r="D34" s="142">
        <v>498</v>
      </c>
      <c r="E34" s="88" t="s">
        <v>396</v>
      </c>
      <c r="F34" s="58">
        <f t="shared" si="40"/>
        <v>80.215999999999994</v>
      </c>
      <c r="G34" s="58">
        <f t="shared" si="41"/>
        <v>0</v>
      </c>
      <c r="H34" s="58">
        <f t="shared" si="42"/>
        <v>80.215999999999994</v>
      </c>
      <c r="I34" s="58">
        <f>ROUND((AK34-AJ34)/D34,3)</f>
        <v>1.958</v>
      </c>
      <c r="J34" s="58">
        <f t="shared" si="44"/>
        <v>0</v>
      </c>
      <c r="K34" s="58">
        <f t="shared" si="45"/>
        <v>0</v>
      </c>
      <c r="L34" s="58">
        <f t="shared" si="46"/>
        <v>0</v>
      </c>
      <c r="M34" s="153">
        <f t="shared" si="47"/>
        <v>0</v>
      </c>
      <c r="N34" s="153">
        <f>ROUND(BE34/D34,3)</f>
        <v>0.96799999999999997</v>
      </c>
      <c r="O34" s="153">
        <f>ROUND(AJ34/D34,3)</f>
        <v>0.496</v>
      </c>
      <c r="P34" s="58">
        <f t="shared" si="50"/>
        <v>83.637999999999991</v>
      </c>
      <c r="Q34" s="58">
        <f t="shared" si="51"/>
        <v>0</v>
      </c>
      <c r="R34" s="58">
        <f t="shared" si="52"/>
        <v>0</v>
      </c>
      <c r="S34" s="371">
        <f t="shared" si="53"/>
        <v>83.637999999999991</v>
      </c>
      <c r="T34" s="88" t="s">
        <v>396</v>
      </c>
      <c r="U34" s="65">
        <v>30681.48</v>
      </c>
      <c r="V34" s="58">
        <v>9266</v>
      </c>
      <c r="W34" s="65"/>
      <c r="X34" s="65"/>
      <c r="Y34" s="65"/>
      <c r="Z34" s="65"/>
      <c r="AA34" s="65"/>
      <c r="AB34" s="65"/>
      <c r="AC34" s="58">
        <v>494</v>
      </c>
      <c r="AD34" s="65"/>
      <c r="AE34" s="65"/>
      <c r="AF34" s="43"/>
      <c r="AG34" s="65"/>
      <c r="AH34" s="58">
        <f>1222-741</f>
        <v>481</v>
      </c>
      <c r="AI34" s="65"/>
      <c r="AJ34" s="373">
        <v>247</v>
      </c>
      <c r="AK34" s="58">
        <f t="shared" si="39"/>
        <v>1222</v>
      </c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>
        <v>482</v>
      </c>
      <c r="BF34" s="58">
        <f t="shared" si="31"/>
        <v>41651.479999999996</v>
      </c>
      <c r="BG34" s="370">
        <f t="shared" si="29"/>
        <v>83.64</v>
      </c>
      <c r="BH34" s="88" t="s">
        <v>396</v>
      </c>
      <c r="BI34" s="81">
        <f t="shared" si="54"/>
        <v>30681.48</v>
      </c>
      <c r="BJ34" s="81">
        <f t="shared" si="54"/>
        <v>9266</v>
      </c>
      <c r="BK34" s="81">
        <f>Z34+AA34+AB34</f>
        <v>0</v>
      </c>
      <c r="BL34" s="81">
        <f>BE34</f>
        <v>482</v>
      </c>
      <c r="BM34" s="81">
        <f>BD34</f>
        <v>0</v>
      </c>
      <c r="BN34" s="81">
        <f>AK34+AL34+AM34+AN34+AO34+AP34+AQ34+AR34+AS34+AT34+AU34+AV34+AW34+AX34+AY34+AZ34+BA34+BB34+BC34</f>
        <v>1222</v>
      </c>
      <c r="BO34" s="91">
        <f>BI34+BJ34+BK34+BL34+BM34+BN34</f>
        <v>41651.479999999996</v>
      </c>
    </row>
    <row r="35" spans="1:67" ht="51" customHeight="1">
      <c r="A35" s="761"/>
      <c r="B35" s="761"/>
      <c r="C35" s="761"/>
      <c r="D35" s="142">
        <v>498</v>
      </c>
      <c r="E35" s="88" t="s">
        <v>367</v>
      </c>
      <c r="F35" s="58">
        <f t="shared" si="40"/>
        <v>414.54899999999998</v>
      </c>
      <c r="G35" s="58">
        <f t="shared" si="41"/>
        <v>0</v>
      </c>
      <c r="H35" s="58">
        <f t="shared" si="42"/>
        <v>414.54899999999998</v>
      </c>
      <c r="I35" s="58">
        <f t="shared" si="43"/>
        <v>4.42</v>
      </c>
      <c r="J35" s="58">
        <f t="shared" si="44"/>
        <v>0</v>
      </c>
      <c r="K35" s="58">
        <f t="shared" si="45"/>
        <v>0</v>
      </c>
      <c r="L35" s="58">
        <f t="shared" si="46"/>
        <v>0</v>
      </c>
      <c r="M35" s="153">
        <f t="shared" si="47"/>
        <v>0</v>
      </c>
      <c r="N35" s="153">
        <f t="shared" si="48"/>
        <v>1.93</v>
      </c>
      <c r="O35" s="153">
        <f t="shared" si="49"/>
        <v>0.5</v>
      </c>
      <c r="P35" s="58">
        <f t="shared" si="50"/>
        <v>421.399</v>
      </c>
      <c r="Q35" s="58">
        <f t="shared" si="51"/>
        <v>0</v>
      </c>
      <c r="R35" s="58">
        <f t="shared" si="52"/>
        <v>0</v>
      </c>
      <c r="S35" s="371">
        <f t="shared" si="53"/>
        <v>421.399</v>
      </c>
      <c r="T35" s="88" t="s">
        <v>367</v>
      </c>
      <c r="U35" s="65">
        <v>158560</v>
      </c>
      <c r="V35" s="58">
        <v>47885.18</v>
      </c>
      <c r="W35" s="65"/>
      <c r="X35" s="65"/>
      <c r="Y35" s="65"/>
      <c r="Z35" s="65"/>
      <c r="AA35" s="65"/>
      <c r="AB35" s="65"/>
      <c r="AC35" s="58">
        <v>1494</v>
      </c>
      <c r="AD35" s="65"/>
      <c r="AE35" s="65"/>
      <c r="AF35" s="43"/>
      <c r="AG35" s="65"/>
      <c r="AH35" s="58">
        <v>708</v>
      </c>
      <c r="AI35" s="65"/>
      <c r="AJ35" s="373">
        <v>247</v>
      </c>
      <c r="AK35" s="58">
        <f t="shared" si="39"/>
        <v>2449</v>
      </c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>
        <v>963</v>
      </c>
      <c r="BF35" s="58">
        <f t="shared" si="31"/>
        <v>209857.18</v>
      </c>
      <c r="BG35" s="370">
        <f t="shared" si="29"/>
        <v>421.4</v>
      </c>
      <c r="BH35" s="88" t="s">
        <v>367</v>
      </c>
      <c r="BI35" s="81">
        <f t="shared" si="54"/>
        <v>158560</v>
      </c>
      <c r="BJ35" s="81">
        <f t="shared" si="54"/>
        <v>47885.18</v>
      </c>
      <c r="BK35" s="81">
        <f>Z35+AA35+AB35</f>
        <v>0</v>
      </c>
      <c r="BL35" s="81">
        <f>BE35</f>
        <v>963</v>
      </c>
      <c r="BM35" s="81">
        <f>BD35</f>
        <v>0</v>
      </c>
      <c r="BN35" s="81">
        <f>AK35+AL35+AM35+AN35+AO35+AP35+AQ35+AR35+AS35+AT35+AU35+AV35+AW35+AX35+AY35+AZ35+BA35+BB35+BC35</f>
        <v>2449</v>
      </c>
      <c r="BO35" s="91">
        <f>BI35+BJ35+BK35+BL35+BM35+BN35</f>
        <v>209857.18</v>
      </c>
    </row>
    <row r="36" spans="1:67" ht="46.5" customHeight="1">
      <c r="A36" s="761"/>
      <c r="B36" s="761"/>
      <c r="C36" s="761"/>
      <c r="D36" s="142">
        <v>2474</v>
      </c>
      <c r="E36" s="88" t="s">
        <v>366</v>
      </c>
      <c r="F36" s="58">
        <f t="shared" si="40"/>
        <v>73.188000000000002</v>
      </c>
      <c r="G36" s="58">
        <f t="shared" si="41"/>
        <v>0</v>
      </c>
      <c r="H36" s="58">
        <f t="shared" si="42"/>
        <v>73.188000000000002</v>
      </c>
      <c r="I36" s="58">
        <f t="shared" si="43"/>
        <v>14.33</v>
      </c>
      <c r="J36" s="58">
        <f t="shared" si="44"/>
        <v>0</v>
      </c>
      <c r="K36" s="58">
        <f t="shared" si="45"/>
        <v>0</v>
      </c>
      <c r="L36" s="58">
        <f t="shared" si="46"/>
        <v>0</v>
      </c>
      <c r="M36" s="153">
        <f t="shared" si="47"/>
        <v>0</v>
      </c>
      <c r="N36" s="153">
        <f t="shared" si="48"/>
        <v>2.25</v>
      </c>
      <c r="O36" s="153">
        <f t="shared" si="49"/>
        <v>0.1</v>
      </c>
      <c r="P36" s="58">
        <f t="shared" si="50"/>
        <v>89.867999999999995</v>
      </c>
      <c r="Q36" s="58">
        <f t="shared" si="51"/>
        <v>0</v>
      </c>
      <c r="R36" s="58">
        <f t="shared" si="52"/>
        <v>0</v>
      </c>
      <c r="S36" s="371">
        <f t="shared" si="53"/>
        <v>89.867999999999995</v>
      </c>
      <c r="T36" s="88" t="s">
        <v>366</v>
      </c>
      <c r="U36" s="65">
        <v>139067.5</v>
      </c>
      <c r="V36" s="58">
        <v>41998.44</v>
      </c>
      <c r="W36" s="65"/>
      <c r="X36" s="65"/>
      <c r="Y36" s="65"/>
      <c r="Z36" s="65"/>
      <c r="AA36" s="65"/>
      <c r="AB36" s="65"/>
      <c r="AC36" s="58">
        <v>7422</v>
      </c>
      <c r="AD36" s="65"/>
      <c r="AE36" s="65"/>
      <c r="AF36" s="43"/>
      <c r="AG36" s="65"/>
      <c r="AH36" s="58">
        <v>28025</v>
      </c>
      <c r="AI36" s="65"/>
      <c r="AJ36" s="373">
        <v>247</v>
      </c>
      <c r="AK36" s="58">
        <f t="shared" si="39"/>
        <v>35694</v>
      </c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>
        <v>5567</v>
      </c>
      <c r="BF36" s="58">
        <f t="shared" si="31"/>
        <v>222326.94</v>
      </c>
      <c r="BG36" s="370">
        <f t="shared" si="29"/>
        <v>89.87</v>
      </c>
      <c r="BH36" s="88" t="s">
        <v>366</v>
      </c>
      <c r="BI36" s="81">
        <f t="shared" si="32"/>
        <v>139067.5</v>
      </c>
      <c r="BJ36" s="81">
        <f t="shared" si="33"/>
        <v>41998.44</v>
      </c>
      <c r="BK36" s="81">
        <f t="shared" si="34"/>
        <v>0</v>
      </c>
      <c r="BL36" s="81">
        <f t="shared" si="35"/>
        <v>5567</v>
      </c>
      <c r="BM36" s="81">
        <f t="shared" si="36"/>
        <v>0</v>
      </c>
      <c r="BN36" s="81">
        <f t="shared" si="37"/>
        <v>35694</v>
      </c>
      <c r="BO36" s="91">
        <f t="shared" si="38"/>
        <v>222326.94</v>
      </c>
    </row>
    <row r="37" spans="1:67" ht="49.5" customHeight="1">
      <c r="A37" s="762"/>
      <c r="B37" s="762"/>
      <c r="C37" s="762"/>
      <c r="D37" s="316">
        <v>0</v>
      </c>
      <c r="E37" s="88" t="s">
        <v>81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605">
        <v>0</v>
      </c>
      <c r="T37" s="88" t="s">
        <v>81</v>
      </c>
      <c r="U37" s="65">
        <v>0</v>
      </c>
      <c r="V37" s="58">
        <v>0</v>
      </c>
      <c r="W37" s="65"/>
      <c r="X37" s="65"/>
      <c r="Y37" s="65"/>
      <c r="Z37" s="65"/>
      <c r="AA37" s="65"/>
      <c r="AB37" s="65"/>
      <c r="AC37" s="58">
        <v>0</v>
      </c>
      <c r="AD37" s="65"/>
      <c r="AE37" s="65"/>
      <c r="AF37" s="43"/>
      <c r="AG37" s="65"/>
      <c r="AH37" s="58">
        <v>0</v>
      </c>
      <c r="AI37" s="65"/>
      <c r="AJ37" s="373">
        <v>0</v>
      </c>
      <c r="AK37" s="58">
        <f t="shared" si="39"/>
        <v>0</v>
      </c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>
        <v>0</v>
      </c>
      <c r="BF37" s="58">
        <f t="shared" si="31"/>
        <v>0</v>
      </c>
      <c r="BG37" s="370" t="e">
        <f t="shared" si="29"/>
        <v>#DIV/0!</v>
      </c>
      <c r="BH37" s="88" t="s">
        <v>81</v>
      </c>
      <c r="BI37" s="81">
        <f t="shared" si="32"/>
        <v>0</v>
      </c>
      <c r="BJ37" s="81">
        <f t="shared" si="33"/>
        <v>0</v>
      </c>
      <c r="BK37" s="81">
        <f t="shared" si="34"/>
        <v>0</v>
      </c>
      <c r="BL37" s="81">
        <f t="shared" si="35"/>
        <v>0</v>
      </c>
      <c r="BM37" s="81">
        <f t="shared" si="36"/>
        <v>0</v>
      </c>
      <c r="BN37" s="81">
        <f t="shared" si="37"/>
        <v>0</v>
      </c>
      <c r="BO37" s="91">
        <f t="shared" si="38"/>
        <v>0</v>
      </c>
    </row>
    <row r="38" spans="1:67" s="592" customFormat="1" ht="18.75">
      <c r="A38" s="113"/>
      <c r="B38" s="113"/>
      <c r="C38" s="113"/>
      <c r="D38" s="119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572"/>
      <c r="BH38" s="572"/>
      <c r="BI38" s="119"/>
      <c r="BJ38" s="119"/>
      <c r="BK38" s="119"/>
      <c r="BL38" s="119"/>
      <c r="BM38" s="119"/>
      <c r="BN38" s="119"/>
      <c r="BO38" s="119"/>
    </row>
  </sheetData>
  <mergeCells count="99">
    <mergeCell ref="A25:A37"/>
    <mergeCell ref="B25:B37"/>
    <mergeCell ref="C25:C37"/>
    <mergeCell ref="A23:R23"/>
    <mergeCell ref="J5:J8"/>
    <mergeCell ref="O5:O8"/>
    <mergeCell ref="F5:H5"/>
    <mergeCell ref="I5:I8"/>
    <mergeCell ref="A10:A20"/>
    <mergeCell ref="B10:B20"/>
    <mergeCell ref="C10:C20"/>
    <mergeCell ref="F7:F8"/>
    <mergeCell ref="A1:S1"/>
    <mergeCell ref="K5:K8"/>
    <mergeCell ref="A3:A8"/>
    <mergeCell ref="B3:B8"/>
    <mergeCell ref="D3:D8"/>
    <mergeCell ref="M5:M8"/>
    <mergeCell ref="N5:N8"/>
    <mergeCell ref="F3:O3"/>
    <mergeCell ref="P3:P8"/>
    <mergeCell ref="F6:H6"/>
    <mergeCell ref="B2:S2"/>
    <mergeCell ref="G7:G8"/>
    <mergeCell ref="F4:O4"/>
    <mergeCell ref="E3:E8"/>
    <mergeCell ref="C3:C8"/>
    <mergeCell ref="S3:S8"/>
    <mergeCell ref="BJ1:BM1"/>
    <mergeCell ref="BA6:BB6"/>
    <mergeCell ref="BF4:BF8"/>
    <mergeCell ref="AC6:AK6"/>
    <mergeCell ref="AY5:BB5"/>
    <mergeCell ref="AL6:AQ6"/>
    <mergeCell ref="AD7:AD8"/>
    <mergeCell ref="BD1:BF1"/>
    <mergeCell ref="AG7:AG8"/>
    <mergeCell ref="Y4:AQ4"/>
    <mergeCell ref="AF7:AF8"/>
    <mergeCell ref="Y7:Y8"/>
    <mergeCell ref="AA7:AA8"/>
    <mergeCell ref="AC7:AC8"/>
    <mergeCell ref="AB7:AB8"/>
    <mergeCell ref="AE7:AE8"/>
    <mergeCell ref="U2:AO2"/>
    <mergeCell ref="AM7:AM8"/>
    <mergeCell ref="AJ7:AJ8"/>
    <mergeCell ref="AK7:AK8"/>
    <mergeCell ref="AH7:AH8"/>
    <mergeCell ref="U3:BG3"/>
    <mergeCell ref="AX7:AX8"/>
    <mergeCell ref="AC5:AK5"/>
    <mergeCell ref="W6:W8"/>
    <mergeCell ref="AY4:BC4"/>
    <mergeCell ref="V6:V8"/>
    <mergeCell ref="U5:X5"/>
    <mergeCell ref="U6:U8"/>
    <mergeCell ref="Y6:AB6"/>
    <mergeCell ref="AL5:AQ5"/>
    <mergeCell ref="AQ7:AQ8"/>
    <mergeCell ref="Y5:AB5"/>
    <mergeCell ref="BM5:BM8"/>
    <mergeCell ref="AR5:AX5"/>
    <mergeCell ref="AR7:AR8"/>
    <mergeCell ref="AS7:AS8"/>
    <mergeCell ref="BC5:BC6"/>
    <mergeCell ref="BC7:BC8"/>
    <mergeCell ref="BE4:BE8"/>
    <mergeCell ref="BG4:BG8"/>
    <mergeCell ref="BI4:BO4"/>
    <mergeCell ref="AR4:AX4"/>
    <mergeCell ref="BA7:BB7"/>
    <mergeCell ref="BH4:BH8"/>
    <mergeCell ref="BD4:BD8"/>
    <mergeCell ref="BI5:BI8"/>
    <mergeCell ref="AR6:AV6"/>
    <mergeCell ref="AZ7:AZ8"/>
    <mergeCell ref="AP7:AP8"/>
    <mergeCell ref="AN7:AN8"/>
    <mergeCell ref="AI7:AI8"/>
    <mergeCell ref="AY7:AY8"/>
    <mergeCell ref="AL7:AL8"/>
    <mergeCell ref="AW7:AW8"/>
    <mergeCell ref="BL5:BL8"/>
    <mergeCell ref="BN5:BN8"/>
    <mergeCell ref="BI3:BO3"/>
    <mergeCell ref="H7:H8"/>
    <mergeCell ref="AT7:AV7"/>
    <mergeCell ref="BO5:BO8"/>
    <mergeCell ref="BJ5:BJ8"/>
    <mergeCell ref="BK5:BK8"/>
    <mergeCell ref="R5:R8"/>
    <mergeCell ref="T3:T8"/>
    <mergeCell ref="L5:L8"/>
    <mergeCell ref="Q3:R4"/>
    <mergeCell ref="Q5:Q8"/>
    <mergeCell ref="Z7:Z8"/>
    <mergeCell ref="X6:X8"/>
    <mergeCell ref="U4:X4"/>
  </mergeCells>
  <phoneticPr fontId="2" type="noConversion"/>
  <pageMargins left="0.11811023622047245" right="7.874015748031496E-2" top="0.27559055118110237" bottom="7.874015748031496E-2" header="0.35433070866141736" footer="0.51181102362204722"/>
  <pageSetup paperSize="9" scale="47" orientation="landscape" r:id="rId1"/>
  <headerFooter alignWithMargins="0"/>
  <rowBreaks count="1" manualBreakCount="1">
    <brk id="22" max="16383" man="1"/>
  </rowBreaks>
  <colBreaks count="3" manualBreakCount="3">
    <brk id="19" max="1048575" man="1"/>
    <brk id="37" max="1048575" man="1"/>
    <brk id="6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BQ15"/>
  <sheetViews>
    <sheetView zoomScale="80" zoomScaleNormal="80" workbookViewId="0">
      <pane ySplit="8" topLeftCell="A12" activePane="bottomLeft" state="frozen"/>
      <selection pane="bottomLeft" activeCell="U15" sqref="U15"/>
    </sheetView>
  </sheetViews>
  <sheetFormatPr defaultRowHeight="15.75"/>
  <cols>
    <col min="1" max="1" width="36" style="3" customWidth="1"/>
    <col min="2" max="2" width="16.5703125" style="3" customWidth="1"/>
    <col min="3" max="3" width="9.28515625" style="3" customWidth="1"/>
    <col min="4" max="4" width="21" style="85" customWidth="1"/>
    <col min="5" max="5" width="13" style="3" customWidth="1"/>
    <col min="6" max="6" width="8.7109375" style="3" customWidth="1"/>
    <col min="7" max="7" width="10.140625" style="3" customWidth="1"/>
    <col min="8" max="8" width="10.7109375" style="3" customWidth="1"/>
    <col min="9" max="9" width="9.42578125" style="3" customWidth="1"/>
    <col min="10" max="10" width="12.140625" style="3" customWidth="1"/>
    <col min="11" max="11" width="10.85546875" style="3" customWidth="1"/>
    <col min="12" max="12" width="10.5703125" style="3" customWidth="1"/>
    <col min="13" max="13" width="9" style="3" hidden="1" customWidth="1"/>
    <col min="14" max="14" width="11.42578125" style="3" customWidth="1"/>
    <col min="15" max="15" width="10.5703125" style="3" customWidth="1"/>
    <col min="16" max="16" width="10.85546875" style="3" customWidth="1"/>
    <col min="17" max="17" width="10.7109375" style="3" customWidth="1"/>
    <col min="18" max="18" width="11.42578125" style="3" customWidth="1"/>
    <col min="19" max="19" width="12.28515625" style="3" customWidth="1"/>
    <col min="20" max="20" width="20.42578125" style="85" customWidth="1"/>
    <col min="21" max="21" width="15.7109375" style="17" customWidth="1"/>
    <col min="22" max="22" width="14.42578125" style="17" customWidth="1"/>
    <col min="23" max="23" width="10.140625" style="17" customWidth="1"/>
    <col min="24" max="24" width="12.7109375" style="17" customWidth="1"/>
    <col min="25" max="26" width="10.7109375" style="17" customWidth="1"/>
    <col min="27" max="27" width="9.42578125" style="17" customWidth="1"/>
    <col min="28" max="28" width="11.42578125" style="17" customWidth="1"/>
    <col min="29" max="30" width="8.85546875" style="17" customWidth="1"/>
    <col min="31" max="31" width="9.5703125" style="17" customWidth="1"/>
    <col min="32" max="32" width="10.28515625" style="17" customWidth="1"/>
    <col min="33" max="34" width="8.5703125" style="17" customWidth="1"/>
    <col min="35" max="35" width="10.140625" style="17" customWidth="1"/>
    <col min="36" max="36" width="12" style="17" customWidth="1"/>
    <col min="37" max="37" width="9.5703125" style="17" customWidth="1"/>
    <col min="38" max="38" width="9.140625" style="17"/>
    <col min="39" max="39" width="10.28515625" style="17" customWidth="1"/>
    <col min="40" max="40" width="11.42578125" style="17" customWidth="1"/>
    <col min="41" max="41" width="12" style="17" hidden="1" customWidth="1"/>
    <col min="42" max="42" width="21.42578125" style="85" customWidth="1"/>
    <col min="43" max="43" width="11.5703125" style="17" customWidth="1"/>
    <col min="44" max="44" width="13.140625" style="17" customWidth="1"/>
    <col min="45" max="45" width="11.28515625" style="17" hidden="1" customWidth="1"/>
    <col min="46" max="46" width="11.42578125" style="17" hidden="1" customWidth="1"/>
    <col min="47" max="47" width="8.42578125" style="17" hidden="1" customWidth="1"/>
    <col min="48" max="48" width="14.85546875" style="17" customWidth="1"/>
    <col min="49" max="49" width="11.140625" style="17" hidden="1" customWidth="1"/>
    <col min="50" max="50" width="9.5703125" style="17" customWidth="1"/>
    <col min="51" max="51" width="8.140625" style="5" customWidth="1"/>
    <col min="52" max="52" width="11.7109375" style="5" hidden="1" customWidth="1"/>
    <col min="53" max="53" width="9.28515625" style="5" hidden="1" customWidth="1"/>
    <col min="54" max="55" width="10.85546875" style="5" customWidth="1"/>
    <col min="56" max="56" width="12.42578125" style="5" hidden="1" customWidth="1"/>
    <col min="57" max="57" width="13.42578125" style="16" customWidth="1"/>
    <col min="58" max="58" width="13.5703125" style="5" hidden="1" customWidth="1"/>
    <col min="59" max="59" width="15" style="18" customWidth="1"/>
    <col min="60" max="60" width="9.140625" style="16" hidden="1" customWidth="1"/>
    <col min="61" max="61" width="13.5703125" style="16" hidden="1" customWidth="1"/>
    <col min="62" max="62" width="14" style="16" customWidth="1"/>
    <col min="63" max="63" width="14.28515625" style="71" customWidth="1"/>
    <col min="64" max="64" width="14.5703125" style="71" customWidth="1"/>
    <col min="65" max="65" width="10" style="71" customWidth="1"/>
    <col min="66" max="66" width="12.5703125" style="71" customWidth="1"/>
    <col min="67" max="67" width="8" style="71" customWidth="1"/>
    <col min="68" max="68" width="11" style="71" customWidth="1"/>
    <col min="69" max="69" width="15.28515625" style="71" customWidth="1"/>
  </cols>
  <sheetData>
    <row r="1" spans="1:69" ht="20.25" customHeight="1">
      <c r="A1" s="4"/>
      <c r="B1" s="686" t="s">
        <v>415</v>
      </c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N1" s="19"/>
      <c r="AO1" s="19"/>
      <c r="AP1" s="69"/>
      <c r="AQ1" s="19"/>
      <c r="AR1" s="19"/>
      <c r="AS1" s="19"/>
      <c r="AT1" s="19"/>
      <c r="AU1" s="19"/>
      <c r="AV1" s="19"/>
      <c r="AW1" s="686"/>
      <c r="AX1" s="686"/>
      <c r="AY1" s="686"/>
      <c r="AZ1" s="686"/>
      <c r="BA1" s="686"/>
      <c r="BB1" s="686"/>
      <c r="BC1" s="686"/>
      <c r="BD1" s="686"/>
      <c r="BE1" s="686"/>
      <c r="BF1" s="686"/>
      <c r="BG1" s="686"/>
      <c r="BH1" s="686"/>
      <c r="BI1" s="686"/>
      <c r="BJ1" s="686"/>
      <c r="BK1" s="686"/>
      <c r="BL1" s="686"/>
      <c r="BM1" s="686"/>
      <c r="BN1" s="686"/>
      <c r="BO1" s="686"/>
      <c r="BP1" s="686"/>
    </row>
    <row r="2" spans="1:69" ht="36.75" customHeight="1">
      <c r="A2" s="4"/>
      <c r="B2" s="718" t="s">
        <v>292</v>
      </c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7"/>
      <c r="Q2" s="767"/>
      <c r="R2" s="767"/>
      <c r="S2" s="767"/>
      <c r="T2" s="6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69"/>
      <c r="AQ2" s="19"/>
      <c r="AR2" s="19"/>
      <c r="AS2" s="19"/>
      <c r="AT2" s="19"/>
      <c r="AU2" s="19"/>
      <c r="AV2" s="19"/>
      <c r="AW2" s="19"/>
      <c r="AX2" s="19"/>
      <c r="BM2" s="769"/>
      <c r="BN2" s="769"/>
      <c r="BO2" s="769"/>
      <c r="BP2" s="769"/>
    </row>
    <row r="3" spans="1:69" ht="28.5" customHeight="1">
      <c r="A3" s="711" t="s">
        <v>291</v>
      </c>
      <c r="B3" s="713" t="s">
        <v>2</v>
      </c>
      <c r="C3" s="713" t="s">
        <v>285</v>
      </c>
      <c r="D3" s="764" t="s">
        <v>68</v>
      </c>
      <c r="E3" s="722" t="s">
        <v>287</v>
      </c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675" t="s">
        <v>55</v>
      </c>
      <c r="Q3" s="724" t="s">
        <v>56</v>
      </c>
      <c r="R3" s="725"/>
      <c r="S3" s="678" t="s">
        <v>286</v>
      </c>
      <c r="T3" s="764" t="s">
        <v>68</v>
      </c>
      <c r="U3" s="682" t="s">
        <v>288</v>
      </c>
      <c r="V3" s="683"/>
      <c r="W3" s="683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684"/>
      <c r="AR3" s="684"/>
      <c r="AS3" s="684"/>
      <c r="AT3" s="684"/>
      <c r="AU3" s="684"/>
      <c r="AV3" s="684"/>
      <c r="AW3" s="684"/>
      <c r="AX3" s="684"/>
      <c r="AY3" s="684"/>
      <c r="AZ3" s="684"/>
      <c r="BA3" s="684"/>
      <c r="BB3" s="684"/>
      <c r="BC3" s="684"/>
      <c r="BD3" s="684"/>
      <c r="BE3" s="684"/>
      <c r="BF3" s="684"/>
      <c r="BG3" s="684"/>
      <c r="BH3" s="684"/>
      <c r="BI3" s="684"/>
      <c r="BJ3" s="685"/>
      <c r="BK3" s="687"/>
      <c r="BL3" s="687"/>
      <c r="BM3" s="687"/>
      <c r="BN3" s="687"/>
      <c r="BO3" s="687"/>
      <c r="BP3" s="687"/>
      <c r="BQ3" s="687"/>
    </row>
    <row r="4" spans="1:69" s="1" customFormat="1" ht="33" customHeight="1">
      <c r="A4" s="712"/>
      <c r="B4" s="674"/>
      <c r="C4" s="674"/>
      <c r="D4" s="765"/>
      <c r="E4" s="680" t="s">
        <v>59</v>
      </c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74"/>
      <c r="Q4" s="726"/>
      <c r="R4" s="727"/>
      <c r="S4" s="679"/>
      <c r="T4" s="765"/>
      <c r="U4" s="676" t="s">
        <v>62</v>
      </c>
      <c r="V4" s="676"/>
      <c r="W4" s="676"/>
      <c r="X4" s="677"/>
      <c r="Y4" s="688" t="s">
        <v>289</v>
      </c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764" t="s">
        <v>68</v>
      </c>
      <c r="AQ4" s="693" t="s">
        <v>19</v>
      </c>
      <c r="AR4" s="768"/>
      <c r="AS4" s="768"/>
      <c r="AT4" s="768"/>
      <c r="AU4" s="768"/>
      <c r="AV4" s="768"/>
      <c r="AW4" s="694"/>
      <c r="AX4" s="676" t="s">
        <v>19</v>
      </c>
      <c r="AY4" s="676"/>
      <c r="AZ4" s="676"/>
      <c r="BA4" s="676"/>
      <c r="BB4" s="676"/>
      <c r="BC4" s="676" t="s">
        <v>20</v>
      </c>
      <c r="BD4" s="676" t="s">
        <v>100</v>
      </c>
      <c r="BE4" s="704" t="s">
        <v>13</v>
      </c>
      <c r="BF4" s="676" t="s">
        <v>21</v>
      </c>
      <c r="BG4" s="676" t="s">
        <v>22</v>
      </c>
      <c r="BH4" s="704" t="s">
        <v>23</v>
      </c>
      <c r="BI4" s="704" t="s">
        <v>24</v>
      </c>
      <c r="BJ4" s="703" t="s">
        <v>290</v>
      </c>
      <c r="BK4" s="687" t="s">
        <v>129</v>
      </c>
      <c r="BL4" s="687"/>
      <c r="BM4" s="687"/>
      <c r="BN4" s="687"/>
      <c r="BO4" s="687"/>
      <c r="BP4" s="687"/>
      <c r="BQ4" s="687"/>
    </row>
    <row r="5" spans="1:69" s="2" customFormat="1" ht="63" customHeight="1">
      <c r="A5" s="712"/>
      <c r="B5" s="674"/>
      <c r="C5" s="674"/>
      <c r="D5" s="765"/>
      <c r="E5" s="680" t="s">
        <v>53</v>
      </c>
      <c r="F5" s="681"/>
      <c r="G5" s="681"/>
      <c r="H5" s="680" t="s">
        <v>27</v>
      </c>
      <c r="I5" s="680" t="s">
        <v>10</v>
      </c>
      <c r="J5" s="680" t="s">
        <v>5</v>
      </c>
      <c r="K5" s="680" t="s">
        <v>51</v>
      </c>
      <c r="L5" s="680" t="s">
        <v>136</v>
      </c>
      <c r="M5" s="680" t="s">
        <v>125</v>
      </c>
      <c r="N5" s="680" t="s">
        <v>13</v>
      </c>
      <c r="O5" s="680" t="s">
        <v>21</v>
      </c>
      <c r="P5" s="674"/>
      <c r="Q5" s="680" t="s">
        <v>16</v>
      </c>
      <c r="R5" s="680" t="s">
        <v>52</v>
      </c>
      <c r="S5" s="679"/>
      <c r="T5" s="765"/>
      <c r="U5" s="676" t="s">
        <v>66</v>
      </c>
      <c r="V5" s="677"/>
      <c r="W5" s="677"/>
      <c r="X5" s="677"/>
      <c r="Y5" s="676" t="s">
        <v>63</v>
      </c>
      <c r="Z5" s="676"/>
      <c r="AA5" s="676"/>
      <c r="AB5" s="692">
        <v>340</v>
      </c>
      <c r="AC5" s="692"/>
      <c r="AD5" s="692"/>
      <c r="AE5" s="692"/>
      <c r="AF5" s="692"/>
      <c r="AG5" s="692"/>
      <c r="AH5" s="692"/>
      <c r="AI5" s="692"/>
      <c r="AJ5" s="692"/>
      <c r="AK5" s="676" t="s">
        <v>4</v>
      </c>
      <c r="AL5" s="676"/>
      <c r="AM5" s="676"/>
      <c r="AN5" s="676"/>
      <c r="AO5" s="676"/>
      <c r="AP5" s="765"/>
      <c r="AQ5" s="676" t="s">
        <v>5</v>
      </c>
      <c r="AR5" s="676"/>
      <c r="AS5" s="676"/>
      <c r="AT5" s="676"/>
      <c r="AU5" s="676"/>
      <c r="AV5" s="676"/>
      <c r="AW5" s="676"/>
      <c r="AX5" s="676" t="s">
        <v>6</v>
      </c>
      <c r="AY5" s="717"/>
      <c r="AZ5" s="677"/>
      <c r="BA5" s="677"/>
      <c r="BB5" s="692">
        <v>290</v>
      </c>
      <c r="BC5" s="676"/>
      <c r="BD5" s="676"/>
      <c r="BE5" s="704"/>
      <c r="BF5" s="676"/>
      <c r="BG5" s="676"/>
      <c r="BH5" s="704"/>
      <c r="BI5" s="704"/>
      <c r="BJ5" s="703"/>
      <c r="BK5" s="691">
        <v>2110</v>
      </c>
      <c r="BL5" s="691">
        <v>2130</v>
      </c>
      <c r="BM5" s="691">
        <v>2230</v>
      </c>
      <c r="BN5" s="691">
        <v>7500</v>
      </c>
      <c r="BO5" s="691">
        <v>7520</v>
      </c>
      <c r="BP5" s="691">
        <v>7660</v>
      </c>
      <c r="BQ5" s="691" t="s">
        <v>130</v>
      </c>
    </row>
    <row r="6" spans="1:69" s="2" customFormat="1" ht="48" customHeight="1">
      <c r="A6" s="712"/>
      <c r="B6" s="674"/>
      <c r="C6" s="674"/>
      <c r="D6" s="765"/>
      <c r="E6" s="680" t="s">
        <v>26</v>
      </c>
      <c r="F6" s="680"/>
      <c r="G6" s="680"/>
      <c r="H6" s="681"/>
      <c r="I6" s="681"/>
      <c r="J6" s="681"/>
      <c r="K6" s="681"/>
      <c r="L6" s="681"/>
      <c r="M6" s="681"/>
      <c r="N6" s="681"/>
      <c r="O6" s="681"/>
      <c r="P6" s="674"/>
      <c r="Q6" s="681"/>
      <c r="R6" s="681"/>
      <c r="S6" s="679"/>
      <c r="T6" s="765"/>
      <c r="U6" s="676" t="s">
        <v>3</v>
      </c>
      <c r="V6" s="676" t="s">
        <v>64</v>
      </c>
      <c r="W6" s="676" t="s">
        <v>12</v>
      </c>
      <c r="X6" s="676" t="s">
        <v>65</v>
      </c>
      <c r="Y6" s="676" t="s">
        <v>16</v>
      </c>
      <c r="Z6" s="676"/>
      <c r="AA6" s="676"/>
      <c r="AB6" s="676" t="s">
        <v>27</v>
      </c>
      <c r="AC6" s="676"/>
      <c r="AD6" s="676"/>
      <c r="AE6" s="676"/>
      <c r="AF6" s="676"/>
      <c r="AG6" s="676"/>
      <c r="AH6" s="676"/>
      <c r="AI6" s="676"/>
      <c r="AJ6" s="676"/>
      <c r="AK6" s="676" t="s">
        <v>10</v>
      </c>
      <c r="AL6" s="676"/>
      <c r="AM6" s="676"/>
      <c r="AN6" s="676"/>
      <c r="AO6" s="676"/>
      <c r="AP6" s="765"/>
      <c r="AQ6" s="692">
        <v>225</v>
      </c>
      <c r="AR6" s="692"/>
      <c r="AS6" s="692"/>
      <c r="AT6" s="692"/>
      <c r="AU6" s="692"/>
      <c r="AV6" s="47">
        <v>290</v>
      </c>
      <c r="AW6" s="47">
        <v>224</v>
      </c>
      <c r="AX6" s="20" t="s">
        <v>4</v>
      </c>
      <c r="AY6" s="20" t="s">
        <v>4</v>
      </c>
      <c r="AZ6" s="676" t="s">
        <v>4</v>
      </c>
      <c r="BA6" s="676"/>
      <c r="BB6" s="692"/>
      <c r="BC6" s="676"/>
      <c r="BD6" s="676"/>
      <c r="BE6" s="704"/>
      <c r="BF6" s="676"/>
      <c r="BG6" s="676"/>
      <c r="BH6" s="704"/>
      <c r="BI6" s="704"/>
      <c r="BJ6" s="703"/>
      <c r="BK6" s="691"/>
      <c r="BL6" s="691"/>
      <c r="BM6" s="691"/>
      <c r="BN6" s="691"/>
      <c r="BO6" s="691"/>
      <c r="BP6" s="691"/>
      <c r="BQ6" s="691"/>
    </row>
    <row r="7" spans="1:69" s="2" customFormat="1" ht="36.75" customHeight="1">
      <c r="A7" s="712"/>
      <c r="B7" s="674"/>
      <c r="C7" s="674"/>
      <c r="D7" s="765"/>
      <c r="E7" s="680" t="s">
        <v>3</v>
      </c>
      <c r="F7" s="680" t="s">
        <v>12</v>
      </c>
      <c r="G7" s="680" t="s">
        <v>11</v>
      </c>
      <c r="H7" s="681"/>
      <c r="I7" s="681"/>
      <c r="J7" s="681"/>
      <c r="K7" s="681"/>
      <c r="L7" s="681"/>
      <c r="M7" s="681"/>
      <c r="N7" s="681"/>
      <c r="O7" s="681"/>
      <c r="P7" s="674"/>
      <c r="Q7" s="681"/>
      <c r="R7" s="681"/>
      <c r="S7" s="679"/>
      <c r="T7" s="765"/>
      <c r="U7" s="677"/>
      <c r="V7" s="677"/>
      <c r="W7" s="677"/>
      <c r="X7" s="677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765"/>
      <c r="AQ7" s="676" t="s">
        <v>28</v>
      </c>
      <c r="AR7" s="676" t="s">
        <v>29</v>
      </c>
      <c r="AS7" s="676" t="s">
        <v>119</v>
      </c>
      <c r="AT7" s="676"/>
      <c r="AU7" s="676"/>
      <c r="AV7" s="676" t="s">
        <v>31</v>
      </c>
      <c r="AW7" s="676" t="s">
        <v>124</v>
      </c>
      <c r="AX7" s="676" t="s">
        <v>32</v>
      </c>
      <c r="AY7" s="676" t="s">
        <v>33</v>
      </c>
      <c r="AZ7" s="676" t="s">
        <v>34</v>
      </c>
      <c r="BA7" s="676"/>
      <c r="BB7" s="676" t="s">
        <v>273</v>
      </c>
      <c r="BC7" s="676"/>
      <c r="BD7" s="676"/>
      <c r="BE7" s="704"/>
      <c r="BF7" s="676"/>
      <c r="BG7" s="676"/>
      <c r="BH7" s="704"/>
      <c r="BI7" s="704"/>
      <c r="BJ7" s="703"/>
      <c r="BK7" s="691"/>
      <c r="BL7" s="691"/>
      <c r="BM7" s="691"/>
      <c r="BN7" s="691"/>
      <c r="BO7" s="691"/>
      <c r="BP7" s="691"/>
      <c r="BQ7" s="691"/>
    </row>
    <row r="8" spans="1:69" s="2" customFormat="1" ht="51.75" customHeight="1">
      <c r="A8" s="712"/>
      <c r="B8" s="674"/>
      <c r="C8" s="674"/>
      <c r="D8" s="765"/>
      <c r="E8" s="680"/>
      <c r="F8" s="680"/>
      <c r="G8" s="680"/>
      <c r="H8" s="681"/>
      <c r="I8" s="681"/>
      <c r="J8" s="681"/>
      <c r="K8" s="681"/>
      <c r="L8" s="681"/>
      <c r="M8" s="681"/>
      <c r="N8" s="681"/>
      <c r="O8" s="681"/>
      <c r="P8" s="674"/>
      <c r="Q8" s="681"/>
      <c r="R8" s="681"/>
      <c r="S8" s="679"/>
      <c r="T8" s="765"/>
      <c r="U8" s="677"/>
      <c r="V8" s="677"/>
      <c r="W8" s="677"/>
      <c r="X8" s="677"/>
      <c r="Y8" s="87" t="s">
        <v>9</v>
      </c>
      <c r="Z8" s="87" t="s">
        <v>17</v>
      </c>
      <c r="AA8" s="87" t="s">
        <v>18</v>
      </c>
      <c r="AB8" s="87" t="s">
        <v>36</v>
      </c>
      <c r="AC8" s="87" t="s">
        <v>37</v>
      </c>
      <c r="AD8" s="87" t="s">
        <v>38</v>
      </c>
      <c r="AE8" s="87" t="s">
        <v>39</v>
      </c>
      <c r="AF8" s="87" t="s">
        <v>40</v>
      </c>
      <c r="AG8" s="87" t="s">
        <v>14</v>
      </c>
      <c r="AH8" s="87" t="s">
        <v>41</v>
      </c>
      <c r="AI8" s="87" t="s">
        <v>15</v>
      </c>
      <c r="AJ8" s="87" t="s">
        <v>42</v>
      </c>
      <c r="AK8" s="87" t="s">
        <v>43</v>
      </c>
      <c r="AL8" s="87" t="s">
        <v>44</v>
      </c>
      <c r="AM8" s="87" t="s">
        <v>45</v>
      </c>
      <c r="AN8" s="87" t="s">
        <v>46</v>
      </c>
      <c r="AO8" s="87" t="s">
        <v>47</v>
      </c>
      <c r="AP8" s="765"/>
      <c r="AQ8" s="676"/>
      <c r="AR8" s="676"/>
      <c r="AS8" s="87" t="s">
        <v>48</v>
      </c>
      <c r="AT8" s="87" t="s">
        <v>49</v>
      </c>
      <c r="AU8" s="87" t="s">
        <v>50</v>
      </c>
      <c r="AV8" s="676"/>
      <c r="AW8" s="676"/>
      <c r="AX8" s="676"/>
      <c r="AY8" s="676"/>
      <c r="AZ8" s="676"/>
      <c r="BA8" s="676"/>
      <c r="BB8" s="676"/>
      <c r="BC8" s="676"/>
      <c r="BD8" s="676"/>
      <c r="BE8" s="704"/>
      <c r="BF8" s="676"/>
      <c r="BG8" s="676"/>
      <c r="BH8" s="704"/>
      <c r="BI8" s="704"/>
      <c r="BJ8" s="703"/>
      <c r="BK8" s="691"/>
      <c r="BL8" s="691"/>
      <c r="BM8" s="691"/>
      <c r="BN8" s="691"/>
      <c r="BO8" s="691"/>
      <c r="BP8" s="691"/>
      <c r="BQ8" s="691"/>
    </row>
    <row r="9" spans="1:69" s="1" customFormat="1" ht="48" customHeight="1">
      <c r="A9" s="386" t="s">
        <v>166</v>
      </c>
      <c r="B9" s="386" t="s">
        <v>167</v>
      </c>
      <c r="C9" s="387">
        <f>C10+C11+C12+C13+C14+C15</f>
        <v>1956</v>
      </c>
      <c r="D9" s="388"/>
      <c r="E9" s="389">
        <f>ROUND((U9+V9)/C9,2)</f>
        <v>3502.76</v>
      </c>
      <c r="F9" s="389">
        <f t="shared" ref="F9:F15" si="0">ROUND((W9+X9)/C9,2)</f>
        <v>0</v>
      </c>
      <c r="G9" s="389">
        <f>E9+F9</f>
        <v>3502.76</v>
      </c>
      <c r="H9" s="390">
        <f t="shared" ref="H9:H14" si="1">ROUND((AJ9-AI9)/C9,2)</f>
        <v>7</v>
      </c>
      <c r="I9" s="389">
        <f t="shared" ref="I9:I15" si="2">ROUND((AK9+AL9+AM9+AN9+AO9)/C9,2)</f>
        <v>0</v>
      </c>
      <c r="J9" s="389">
        <f t="shared" ref="J9:J15" si="3">ROUND((AQ9+AR9+AS9+AT9+AU9)/C9,2)</f>
        <v>0</v>
      </c>
      <c r="K9" s="389">
        <f t="shared" ref="K9:K15" si="4">ROUND((AX9+AY9)/C9,2)</f>
        <v>0</v>
      </c>
      <c r="L9" s="391">
        <f t="shared" ref="L9:L15" si="5">ROUND(BC9/C9,2)</f>
        <v>0</v>
      </c>
      <c r="M9" s="391"/>
      <c r="N9" s="391">
        <f>ROUND(BE9/C9,2)</f>
        <v>327.12</v>
      </c>
      <c r="O9" s="392">
        <f t="shared" ref="O9:O15" si="6">ROUND(AI9/C9,2)</f>
        <v>1.28</v>
      </c>
      <c r="P9" s="389">
        <f t="shared" ref="P9:P15" si="7">O9+N9+L9+K9+J9+I9+H9+G9+M9</f>
        <v>3838.1600000000003</v>
      </c>
      <c r="Q9" s="389">
        <f t="shared" ref="Q9:Q15" si="8">ROUND((Y9+Z9+AA9)/C9,2)</f>
        <v>0</v>
      </c>
      <c r="R9" s="389">
        <f t="shared" ref="R9:R15" si="9">ROUND(AV9/C9,2)</f>
        <v>0</v>
      </c>
      <c r="S9" s="389">
        <f>P9+Q9+R9</f>
        <v>3838.1600000000003</v>
      </c>
      <c r="T9" s="393"/>
      <c r="U9" s="370">
        <f>U10+U11+U12+U13+U14+U15</f>
        <v>5256332.87</v>
      </c>
      <c r="V9" s="394">
        <f t="shared" ref="V9:BG9" si="10">V10+V11+V12+V13+V14+V15</f>
        <v>1595072.38</v>
      </c>
      <c r="W9" s="394">
        <f t="shared" si="10"/>
        <v>0</v>
      </c>
      <c r="X9" s="394">
        <f t="shared" si="10"/>
        <v>0</v>
      </c>
      <c r="Y9" s="394">
        <f t="shared" si="10"/>
        <v>0</v>
      </c>
      <c r="Z9" s="394">
        <f t="shared" si="10"/>
        <v>0</v>
      </c>
      <c r="AA9" s="394">
        <f t="shared" si="10"/>
        <v>0</v>
      </c>
      <c r="AB9" s="394">
        <f t="shared" si="10"/>
        <v>13695</v>
      </c>
      <c r="AC9" s="394">
        <f t="shared" si="10"/>
        <v>0</v>
      </c>
      <c r="AD9" s="394">
        <f t="shared" si="10"/>
        <v>0</v>
      </c>
      <c r="AE9" s="394">
        <f t="shared" si="10"/>
        <v>0</v>
      </c>
      <c r="AF9" s="394">
        <f t="shared" si="10"/>
        <v>0</v>
      </c>
      <c r="AG9" s="394">
        <f t="shared" si="10"/>
        <v>0</v>
      </c>
      <c r="AH9" s="394">
        <f t="shared" si="10"/>
        <v>0</v>
      </c>
      <c r="AI9" s="394">
        <f t="shared" si="10"/>
        <v>2500</v>
      </c>
      <c r="AJ9" s="394">
        <f t="shared" si="10"/>
        <v>16195</v>
      </c>
      <c r="AK9" s="394">
        <f t="shared" si="10"/>
        <v>0</v>
      </c>
      <c r="AL9" s="394">
        <f t="shared" si="10"/>
        <v>0</v>
      </c>
      <c r="AM9" s="394">
        <f t="shared" si="10"/>
        <v>0</v>
      </c>
      <c r="AN9" s="394">
        <f t="shared" si="10"/>
        <v>0</v>
      </c>
      <c r="AO9" s="394">
        <f t="shared" si="10"/>
        <v>0</v>
      </c>
      <c r="AP9" s="394"/>
      <c r="AQ9" s="394">
        <f t="shared" si="10"/>
        <v>0</v>
      </c>
      <c r="AR9" s="394">
        <f t="shared" si="10"/>
        <v>0</v>
      </c>
      <c r="AS9" s="394">
        <f t="shared" si="10"/>
        <v>0</v>
      </c>
      <c r="AT9" s="394">
        <f t="shared" si="10"/>
        <v>0</v>
      </c>
      <c r="AU9" s="394">
        <f t="shared" si="10"/>
        <v>0</v>
      </c>
      <c r="AV9" s="394">
        <f t="shared" si="10"/>
        <v>0</v>
      </c>
      <c r="AW9" s="394">
        <f t="shared" si="10"/>
        <v>0</v>
      </c>
      <c r="AX9" s="394">
        <f t="shared" si="10"/>
        <v>0</v>
      </c>
      <c r="AY9" s="394">
        <f t="shared" si="10"/>
        <v>0</v>
      </c>
      <c r="AZ9" s="394">
        <f t="shared" si="10"/>
        <v>0</v>
      </c>
      <c r="BA9" s="394">
        <f t="shared" si="10"/>
        <v>0</v>
      </c>
      <c r="BB9" s="394">
        <f t="shared" si="10"/>
        <v>0</v>
      </c>
      <c r="BC9" s="394">
        <f t="shared" si="10"/>
        <v>0</v>
      </c>
      <c r="BD9" s="394">
        <f t="shared" si="10"/>
        <v>0</v>
      </c>
      <c r="BE9" s="370">
        <f t="shared" si="10"/>
        <v>639845.5</v>
      </c>
      <c r="BF9" s="394">
        <f t="shared" si="10"/>
        <v>0</v>
      </c>
      <c r="BG9" s="370">
        <f t="shared" si="10"/>
        <v>7507445.7500000009</v>
      </c>
      <c r="BH9" s="395"/>
      <c r="BI9" s="395"/>
      <c r="BJ9" s="389">
        <f t="shared" ref="BJ9:BJ15" si="11">ROUND(BG9/C9,2)</f>
        <v>3838.16</v>
      </c>
      <c r="BK9" s="370">
        <f>BK10+BK11+BK12+BK13+BK14+BK15</f>
        <v>5256332.87</v>
      </c>
      <c r="BL9" s="370">
        <f t="shared" ref="BL9:BQ9" si="12">BL10+BL11+BL12+BL13+BL14+BL15</f>
        <v>1595072.38</v>
      </c>
      <c r="BM9" s="370">
        <f t="shared" si="12"/>
        <v>0</v>
      </c>
      <c r="BN9" s="370">
        <f t="shared" si="12"/>
        <v>639845.5</v>
      </c>
      <c r="BO9" s="370">
        <f t="shared" si="12"/>
        <v>0</v>
      </c>
      <c r="BP9" s="370">
        <f t="shared" si="12"/>
        <v>16195</v>
      </c>
      <c r="BQ9" s="370">
        <f t="shared" si="12"/>
        <v>7507445.7500000009</v>
      </c>
    </row>
    <row r="10" spans="1:69" ht="88.5" customHeight="1">
      <c r="A10" s="648" t="s">
        <v>165</v>
      </c>
      <c r="B10" s="658" t="s">
        <v>167</v>
      </c>
      <c r="C10" s="313">
        <v>45</v>
      </c>
      <c r="D10" s="84" t="s">
        <v>96</v>
      </c>
      <c r="E10" s="15">
        <f>ROUND((U10+V10)/C10,2)</f>
        <v>4269.2</v>
      </c>
      <c r="F10" s="15">
        <f t="shared" si="0"/>
        <v>0</v>
      </c>
      <c r="G10" s="15">
        <f t="shared" ref="G10:G15" si="13">E10+F10</f>
        <v>4269.2</v>
      </c>
      <c r="H10" s="15">
        <f t="shared" si="1"/>
        <v>37.53</v>
      </c>
      <c r="I10" s="15">
        <f t="shared" si="2"/>
        <v>0</v>
      </c>
      <c r="J10" s="15">
        <f t="shared" si="3"/>
        <v>0</v>
      </c>
      <c r="K10" s="15">
        <f t="shared" si="4"/>
        <v>0</v>
      </c>
      <c r="L10" s="37">
        <f t="shared" si="5"/>
        <v>0</v>
      </c>
      <c r="M10" s="37"/>
      <c r="N10" s="37">
        <f>ROUND(BE10/C10,2)</f>
        <v>372.97</v>
      </c>
      <c r="O10" s="37">
        <f t="shared" si="6"/>
        <v>0</v>
      </c>
      <c r="P10" s="15">
        <f t="shared" si="7"/>
        <v>4679.7</v>
      </c>
      <c r="Q10" s="15">
        <f t="shared" si="8"/>
        <v>0</v>
      </c>
      <c r="R10" s="15">
        <f t="shared" si="9"/>
        <v>0</v>
      </c>
      <c r="S10" s="24">
        <f t="shared" ref="S10:S15" si="14">P10+Q10+R10</f>
        <v>4679.7</v>
      </c>
      <c r="T10" s="84" t="s">
        <v>96</v>
      </c>
      <c r="U10" s="15">
        <v>147553.5</v>
      </c>
      <c r="V10" s="12">
        <v>44560.5</v>
      </c>
      <c r="W10" s="12"/>
      <c r="X10" s="12"/>
      <c r="Y10" s="12"/>
      <c r="Z10" s="12"/>
      <c r="AA10" s="12"/>
      <c r="AB10" s="12">
        <v>1689</v>
      </c>
      <c r="AC10" s="12"/>
      <c r="AD10" s="12"/>
      <c r="AE10" s="12"/>
      <c r="AF10" s="12"/>
      <c r="AG10" s="26"/>
      <c r="AH10" s="12"/>
      <c r="AI10" s="12"/>
      <c r="AJ10" s="12">
        <f t="shared" ref="AJ10:AJ15" si="15">AB10+AC10+AD10+AE10+AF10+AG10+AI10+AH10</f>
        <v>1689</v>
      </c>
      <c r="AK10" s="12"/>
      <c r="AL10" s="12"/>
      <c r="AM10" s="12"/>
      <c r="AN10" s="12"/>
      <c r="AO10" s="12"/>
      <c r="AP10" s="84" t="s">
        <v>96</v>
      </c>
      <c r="AQ10" s="12">
        <v>0</v>
      </c>
      <c r="AR10" s="12">
        <v>0</v>
      </c>
      <c r="AS10" s="12">
        <v>0</v>
      </c>
      <c r="AT10" s="12">
        <v>0</v>
      </c>
      <c r="AU10" s="12"/>
      <c r="AV10" s="12">
        <v>0</v>
      </c>
      <c r="AW10" s="12"/>
      <c r="AX10" s="12">
        <v>0</v>
      </c>
      <c r="AY10" s="12">
        <v>0</v>
      </c>
      <c r="AZ10" s="12">
        <v>0</v>
      </c>
      <c r="BA10" s="12"/>
      <c r="BB10" s="12">
        <v>0</v>
      </c>
      <c r="BC10" s="15">
        <v>0</v>
      </c>
      <c r="BD10" s="12">
        <v>0</v>
      </c>
      <c r="BE10" s="15">
        <v>16783.5</v>
      </c>
      <c r="BF10" s="12">
        <v>0</v>
      </c>
      <c r="BG10" s="15">
        <f t="shared" ref="BG10:BG15" si="16">U10+V10+W10+X10+Y10+Z10+AA10+AJ10+AK10+AL10+AM10+AN10+AQ10+AR10+AS10+AT10+AU10+AV10+AW10+AX10+AY10+AZ10+BA10+BB10+BC10+BE10+BF10+BD10</f>
        <v>210586.5</v>
      </c>
      <c r="BH10" s="15"/>
      <c r="BI10" s="15"/>
      <c r="BJ10" s="24">
        <f t="shared" si="11"/>
        <v>4679.7</v>
      </c>
      <c r="BK10" s="58">
        <f t="shared" ref="BK10:BL15" si="17">U10+W10</f>
        <v>147553.5</v>
      </c>
      <c r="BL10" s="58">
        <f t="shared" si="17"/>
        <v>44560.5</v>
      </c>
      <c r="BM10" s="58">
        <f t="shared" ref="BM10:BM15" si="18">Y10+Z10+AA10</f>
        <v>0</v>
      </c>
      <c r="BN10" s="58">
        <f t="shared" ref="BN10:BN15" si="19">BE10</f>
        <v>16783.5</v>
      </c>
      <c r="BO10" s="58">
        <f t="shared" ref="BO10:BO15" si="20">BC10+BD10</f>
        <v>0</v>
      </c>
      <c r="BP10" s="58">
        <f t="shared" ref="BP10:BP15" si="21">AB10+AC10+AD10+AE10+AF10+AG10+AH10+AI10+AK10+AL10+AM10+AN10+AO10+AQ10+AR10+AS10+AT10+AU10+AV10+AW10+AX10+AY10+AZ10+BA10+BB10+BF10</f>
        <v>1689</v>
      </c>
      <c r="BQ10" s="58">
        <f t="shared" ref="BQ10:BQ15" si="22">BK10+BL10+BM10+BN10+BP10+BO10</f>
        <v>210586.5</v>
      </c>
    </row>
    <row r="11" spans="1:69" ht="59.25" customHeight="1">
      <c r="A11" s="660"/>
      <c r="B11" s="660"/>
      <c r="C11" s="313">
        <v>570</v>
      </c>
      <c r="D11" s="84" t="s">
        <v>93</v>
      </c>
      <c r="E11" s="15">
        <f>ROUND((U11+V11)/C11,2)</f>
        <v>2576.8200000000002</v>
      </c>
      <c r="F11" s="15">
        <f t="shared" si="0"/>
        <v>0</v>
      </c>
      <c r="G11" s="15">
        <f t="shared" si="13"/>
        <v>2576.8200000000002</v>
      </c>
      <c r="H11" s="15">
        <f t="shared" si="1"/>
        <v>2.69</v>
      </c>
      <c r="I11" s="15">
        <f t="shared" si="2"/>
        <v>0</v>
      </c>
      <c r="J11" s="15">
        <f t="shared" si="3"/>
        <v>0</v>
      </c>
      <c r="K11" s="15">
        <f t="shared" si="4"/>
        <v>0</v>
      </c>
      <c r="L11" s="37">
        <f t="shared" si="5"/>
        <v>0</v>
      </c>
      <c r="M11" s="37"/>
      <c r="N11" s="37">
        <f>ROUND(BE11/C11,2)</f>
        <v>372.94</v>
      </c>
      <c r="O11" s="37">
        <f t="shared" si="6"/>
        <v>0</v>
      </c>
      <c r="P11" s="15">
        <f t="shared" si="7"/>
        <v>2952.4500000000003</v>
      </c>
      <c r="Q11" s="15">
        <f t="shared" si="8"/>
        <v>0</v>
      </c>
      <c r="R11" s="15">
        <f t="shared" si="9"/>
        <v>0</v>
      </c>
      <c r="S11" s="24">
        <f t="shared" si="14"/>
        <v>2952.4500000000003</v>
      </c>
      <c r="T11" s="84" t="s">
        <v>93</v>
      </c>
      <c r="U11" s="15">
        <v>1128100</v>
      </c>
      <c r="V11" s="12">
        <v>340686</v>
      </c>
      <c r="W11" s="12"/>
      <c r="X11" s="12"/>
      <c r="Y11" s="12"/>
      <c r="Z11" s="12"/>
      <c r="AA11" s="12"/>
      <c r="AB11" s="12">
        <v>1534</v>
      </c>
      <c r="AC11" s="12"/>
      <c r="AD11" s="12"/>
      <c r="AE11" s="12"/>
      <c r="AF11" s="12"/>
      <c r="AG11" s="26"/>
      <c r="AH11" s="12"/>
      <c r="AI11" s="12"/>
      <c r="AJ11" s="12">
        <f t="shared" si="15"/>
        <v>1534</v>
      </c>
      <c r="AK11" s="12"/>
      <c r="AL11" s="12"/>
      <c r="AM11" s="12"/>
      <c r="AN11" s="12"/>
      <c r="AO11" s="12"/>
      <c r="AP11" s="84" t="s">
        <v>93</v>
      </c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5"/>
      <c r="BD11" s="12"/>
      <c r="BE11" s="15">
        <v>212576</v>
      </c>
      <c r="BF11" s="12"/>
      <c r="BG11" s="15">
        <f t="shared" si="16"/>
        <v>1682896</v>
      </c>
      <c r="BH11" s="15"/>
      <c r="BI11" s="15"/>
      <c r="BJ11" s="24">
        <f t="shared" si="11"/>
        <v>2952.45</v>
      </c>
      <c r="BK11" s="58">
        <f t="shared" si="17"/>
        <v>1128100</v>
      </c>
      <c r="BL11" s="58">
        <f t="shared" si="17"/>
        <v>340686</v>
      </c>
      <c r="BM11" s="58">
        <f t="shared" si="18"/>
        <v>0</v>
      </c>
      <c r="BN11" s="58">
        <f t="shared" si="19"/>
        <v>212576</v>
      </c>
      <c r="BO11" s="58">
        <f t="shared" si="20"/>
        <v>0</v>
      </c>
      <c r="BP11" s="58">
        <f t="shared" si="21"/>
        <v>1534</v>
      </c>
      <c r="BQ11" s="58">
        <f t="shared" si="22"/>
        <v>1682896</v>
      </c>
    </row>
    <row r="12" spans="1:69" ht="58.5" customHeight="1">
      <c r="A12" s="660"/>
      <c r="B12" s="660"/>
      <c r="C12" s="10">
        <v>252</v>
      </c>
      <c r="D12" s="84" t="s">
        <v>77</v>
      </c>
      <c r="E12" s="15">
        <f>ROUND((U12+V12)/C12,3)</f>
        <v>994.08699999999999</v>
      </c>
      <c r="F12" s="15">
        <f t="shared" si="0"/>
        <v>0</v>
      </c>
      <c r="G12" s="15">
        <f t="shared" si="13"/>
        <v>994.08699999999999</v>
      </c>
      <c r="H12" s="15">
        <f>ROUND((AJ12-AI12)/C12,3)</f>
        <v>9.9209999999999994</v>
      </c>
      <c r="I12" s="15">
        <f t="shared" si="2"/>
        <v>0</v>
      </c>
      <c r="J12" s="15">
        <f t="shared" si="3"/>
        <v>0</v>
      </c>
      <c r="K12" s="15">
        <f t="shared" si="4"/>
        <v>0</v>
      </c>
      <c r="L12" s="37">
        <f t="shared" si="5"/>
        <v>0</v>
      </c>
      <c r="M12" s="37"/>
      <c r="N12" s="37">
        <f>ROUND(BE12/C12,3)</f>
        <v>19.434999999999999</v>
      </c>
      <c r="O12" s="37">
        <f>ROUND(AI12/C12,3)</f>
        <v>9.9209999999999994</v>
      </c>
      <c r="P12" s="15">
        <f t="shared" si="7"/>
        <v>1033.364</v>
      </c>
      <c r="Q12" s="15">
        <f t="shared" si="8"/>
        <v>0</v>
      </c>
      <c r="R12" s="15">
        <f t="shared" si="9"/>
        <v>0</v>
      </c>
      <c r="S12" s="24">
        <f t="shared" si="14"/>
        <v>1033.364</v>
      </c>
      <c r="T12" s="84" t="s">
        <v>77</v>
      </c>
      <c r="U12" s="15">
        <v>205369</v>
      </c>
      <c r="V12" s="12">
        <v>45141</v>
      </c>
      <c r="W12" s="12"/>
      <c r="X12" s="12"/>
      <c r="Y12" s="12"/>
      <c r="Z12" s="12"/>
      <c r="AA12" s="12"/>
      <c r="AB12" s="12">
        <v>2500</v>
      </c>
      <c r="AC12" s="12"/>
      <c r="AD12" s="12"/>
      <c r="AE12" s="12"/>
      <c r="AF12" s="12"/>
      <c r="AG12" s="26"/>
      <c r="AH12" s="12"/>
      <c r="AI12" s="12">
        <v>2500</v>
      </c>
      <c r="AJ12" s="12">
        <f t="shared" si="15"/>
        <v>5000</v>
      </c>
      <c r="AK12" s="12"/>
      <c r="AL12" s="12"/>
      <c r="AM12" s="12"/>
      <c r="AN12" s="12"/>
      <c r="AO12" s="12"/>
      <c r="AP12" s="84" t="s">
        <v>77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5"/>
      <c r="BD12" s="12"/>
      <c r="BE12" s="15">
        <v>4897.6400000000003</v>
      </c>
      <c r="BF12" s="12"/>
      <c r="BG12" s="15">
        <f t="shared" si="16"/>
        <v>260407.64</v>
      </c>
      <c r="BH12" s="15"/>
      <c r="BI12" s="15"/>
      <c r="BJ12" s="24">
        <f t="shared" si="11"/>
        <v>1033.3599999999999</v>
      </c>
      <c r="BK12" s="58">
        <f t="shared" si="17"/>
        <v>205369</v>
      </c>
      <c r="BL12" s="58">
        <f t="shared" si="17"/>
        <v>45141</v>
      </c>
      <c r="BM12" s="58">
        <f t="shared" si="18"/>
        <v>0</v>
      </c>
      <c r="BN12" s="58">
        <f t="shared" si="19"/>
        <v>4897.6400000000003</v>
      </c>
      <c r="BO12" s="58">
        <f t="shared" si="20"/>
        <v>0</v>
      </c>
      <c r="BP12" s="58">
        <f t="shared" si="21"/>
        <v>5000</v>
      </c>
      <c r="BQ12" s="58">
        <f t="shared" si="22"/>
        <v>260407.64</v>
      </c>
    </row>
    <row r="13" spans="1:69" ht="57.75" customHeight="1">
      <c r="A13" s="660"/>
      <c r="B13" s="660"/>
      <c r="C13" s="10">
        <v>161</v>
      </c>
      <c r="D13" s="84" t="s">
        <v>78</v>
      </c>
      <c r="E13" s="15">
        <f>ROUND((U13+V13)/C13,3)</f>
        <v>2470.5529999999999</v>
      </c>
      <c r="F13" s="15">
        <f t="shared" si="0"/>
        <v>0</v>
      </c>
      <c r="G13" s="15">
        <f t="shared" si="13"/>
        <v>2470.5529999999999</v>
      </c>
      <c r="H13" s="15">
        <f t="shared" si="1"/>
        <v>7.91</v>
      </c>
      <c r="I13" s="15">
        <f t="shared" si="2"/>
        <v>0</v>
      </c>
      <c r="J13" s="15">
        <f t="shared" si="3"/>
        <v>0</v>
      </c>
      <c r="K13" s="15">
        <f t="shared" si="4"/>
        <v>0</v>
      </c>
      <c r="L13" s="37">
        <f t="shared" si="5"/>
        <v>0</v>
      </c>
      <c r="M13" s="37"/>
      <c r="N13" s="37">
        <f>ROUND(BE13/C13,3)</f>
        <v>372.93799999999999</v>
      </c>
      <c r="O13" s="37">
        <f t="shared" si="6"/>
        <v>0</v>
      </c>
      <c r="P13" s="15">
        <f t="shared" si="7"/>
        <v>2851.4009999999998</v>
      </c>
      <c r="Q13" s="15">
        <f t="shared" si="8"/>
        <v>0</v>
      </c>
      <c r="R13" s="15">
        <f t="shared" si="9"/>
        <v>0</v>
      </c>
      <c r="S13" s="24">
        <f t="shared" si="14"/>
        <v>2851.4009999999998</v>
      </c>
      <c r="T13" s="84" t="s">
        <v>78</v>
      </c>
      <c r="U13" s="15">
        <v>305497</v>
      </c>
      <c r="V13" s="12">
        <v>92262</v>
      </c>
      <c r="W13" s="12"/>
      <c r="X13" s="12"/>
      <c r="Y13" s="12"/>
      <c r="Z13" s="12"/>
      <c r="AA13" s="12"/>
      <c r="AB13" s="12">
        <v>1273</v>
      </c>
      <c r="AC13" s="12"/>
      <c r="AD13" s="12"/>
      <c r="AE13" s="12"/>
      <c r="AF13" s="12"/>
      <c r="AG13" s="26"/>
      <c r="AH13" s="12"/>
      <c r="AI13" s="12"/>
      <c r="AJ13" s="12">
        <f t="shared" si="15"/>
        <v>1273</v>
      </c>
      <c r="AK13" s="12"/>
      <c r="AL13" s="12"/>
      <c r="AM13" s="12"/>
      <c r="AN13" s="12"/>
      <c r="AO13" s="12"/>
      <c r="AP13" s="84" t="s">
        <v>78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5"/>
      <c r="BD13" s="12"/>
      <c r="BE13" s="15">
        <v>60043</v>
      </c>
      <c r="BF13" s="12"/>
      <c r="BG13" s="15">
        <f t="shared" si="16"/>
        <v>459075</v>
      </c>
      <c r="BH13" s="15"/>
      <c r="BI13" s="15"/>
      <c r="BJ13" s="24">
        <f t="shared" si="11"/>
        <v>2851.4</v>
      </c>
      <c r="BK13" s="58">
        <f t="shared" si="17"/>
        <v>305497</v>
      </c>
      <c r="BL13" s="58">
        <f t="shared" si="17"/>
        <v>92262</v>
      </c>
      <c r="BM13" s="58">
        <f t="shared" si="18"/>
        <v>0</v>
      </c>
      <c r="BN13" s="58">
        <f t="shared" si="19"/>
        <v>60043</v>
      </c>
      <c r="BO13" s="58">
        <f t="shared" si="20"/>
        <v>0</v>
      </c>
      <c r="BP13" s="58">
        <f t="shared" si="21"/>
        <v>1273</v>
      </c>
      <c r="BQ13" s="58">
        <f t="shared" si="22"/>
        <v>459075</v>
      </c>
    </row>
    <row r="14" spans="1:69" ht="99.75" customHeight="1">
      <c r="A14" s="660"/>
      <c r="B14" s="660"/>
      <c r="C14" s="10">
        <v>749</v>
      </c>
      <c r="D14" s="84" t="s">
        <v>133</v>
      </c>
      <c r="E14" s="15">
        <f>ROUND((U14+V14)/C14,2)</f>
        <v>5069.5600000000004</v>
      </c>
      <c r="F14" s="15">
        <f t="shared" si="0"/>
        <v>0</v>
      </c>
      <c r="G14" s="15">
        <f t="shared" si="13"/>
        <v>5069.5600000000004</v>
      </c>
      <c r="H14" s="15">
        <f t="shared" si="1"/>
        <v>6.96</v>
      </c>
      <c r="I14" s="15">
        <f t="shared" si="2"/>
        <v>0</v>
      </c>
      <c r="J14" s="15">
        <f t="shared" si="3"/>
        <v>0</v>
      </c>
      <c r="K14" s="15">
        <f t="shared" si="4"/>
        <v>0</v>
      </c>
      <c r="L14" s="37">
        <f t="shared" si="5"/>
        <v>0</v>
      </c>
      <c r="M14" s="37"/>
      <c r="N14" s="37">
        <f>ROUND(BE14/C14,2)</f>
        <v>378.42</v>
      </c>
      <c r="O14" s="37">
        <f t="shared" si="6"/>
        <v>0</v>
      </c>
      <c r="P14" s="15">
        <f t="shared" si="7"/>
        <v>5454.9400000000005</v>
      </c>
      <c r="Q14" s="15">
        <f t="shared" si="8"/>
        <v>0</v>
      </c>
      <c r="R14" s="15">
        <f t="shared" si="9"/>
        <v>0</v>
      </c>
      <c r="S14" s="24">
        <f t="shared" si="14"/>
        <v>5454.9400000000005</v>
      </c>
      <c r="T14" s="84" t="s">
        <v>133</v>
      </c>
      <c r="U14" s="15">
        <v>2902216</v>
      </c>
      <c r="V14" s="12">
        <v>894885.5</v>
      </c>
      <c r="W14" s="12"/>
      <c r="X14" s="12"/>
      <c r="Y14" s="12"/>
      <c r="Z14" s="12"/>
      <c r="AA14" s="12"/>
      <c r="AB14" s="12">
        <v>5215</v>
      </c>
      <c r="AC14" s="12"/>
      <c r="AD14" s="12"/>
      <c r="AE14" s="12"/>
      <c r="AF14" s="12"/>
      <c r="AG14" s="12"/>
      <c r="AH14" s="12"/>
      <c r="AI14" s="12"/>
      <c r="AJ14" s="12">
        <f t="shared" si="15"/>
        <v>5215</v>
      </c>
      <c r="AK14" s="12"/>
      <c r="AL14" s="12"/>
      <c r="AM14" s="12"/>
      <c r="AN14" s="12"/>
      <c r="AO14" s="12"/>
      <c r="AP14" s="84" t="s">
        <v>133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5"/>
      <c r="BD14" s="12"/>
      <c r="BE14" s="15">
        <v>283434</v>
      </c>
      <c r="BF14" s="12"/>
      <c r="BG14" s="15">
        <f t="shared" si="16"/>
        <v>4085750.5</v>
      </c>
      <c r="BH14" s="15"/>
      <c r="BI14" s="15"/>
      <c r="BJ14" s="24">
        <f t="shared" si="11"/>
        <v>5454.94</v>
      </c>
      <c r="BK14" s="58">
        <f t="shared" si="17"/>
        <v>2902216</v>
      </c>
      <c r="BL14" s="58">
        <f t="shared" si="17"/>
        <v>894885.5</v>
      </c>
      <c r="BM14" s="58">
        <f t="shared" si="18"/>
        <v>0</v>
      </c>
      <c r="BN14" s="58">
        <f t="shared" si="19"/>
        <v>283434</v>
      </c>
      <c r="BO14" s="58">
        <f t="shared" si="20"/>
        <v>0</v>
      </c>
      <c r="BP14" s="58">
        <f t="shared" si="21"/>
        <v>5215</v>
      </c>
      <c r="BQ14" s="58">
        <f t="shared" si="22"/>
        <v>4085750.5</v>
      </c>
    </row>
    <row r="15" spans="1:69" ht="81" customHeight="1">
      <c r="A15" s="649"/>
      <c r="B15" s="649"/>
      <c r="C15" s="10">
        <v>179</v>
      </c>
      <c r="D15" s="84" t="s">
        <v>88</v>
      </c>
      <c r="E15" s="15">
        <f>ROUND((U15+V15)/C15,3)</f>
        <v>4162.7640000000001</v>
      </c>
      <c r="F15" s="15">
        <f t="shared" si="0"/>
        <v>0</v>
      </c>
      <c r="G15" s="15">
        <f t="shared" si="13"/>
        <v>4162.7640000000001</v>
      </c>
      <c r="H15" s="15">
        <f>ROUND((AJ15-AI15)/C15,3)</f>
        <v>8.2910000000000004</v>
      </c>
      <c r="I15" s="15">
        <f t="shared" si="2"/>
        <v>0</v>
      </c>
      <c r="J15" s="15">
        <f t="shared" si="3"/>
        <v>0</v>
      </c>
      <c r="K15" s="15">
        <f t="shared" si="4"/>
        <v>0</v>
      </c>
      <c r="L15" s="37">
        <f t="shared" si="5"/>
        <v>0</v>
      </c>
      <c r="M15" s="37"/>
      <c r="N15" s="37">
        <f>ROUND(BE15/C15,2)</f>
        <v>346.99</v>
      </c>
      <c r="O15" s="37">
        <f t="shared" si="6"/>
        <v>0</v>
      </c>
      <c r="P15" s="15">
        <f t="shared" si="7"/>
        <v>4518.0450000000001</v>
      </c>
      <c r="Q15" s="15">
        <f t="shared" si="8"/>
        <v>0</v>
      </c>
      <c r="R15" s="15">
        <f t="shared" si="9"/>
        <v>0</v>
      </c>
      <c r="S15" s="24">
        <f t="shared" si="14"/>
        <v>4518.0450000000001</v>
      </c>
      <c r="T15" s="84" t="s">
        <v>88</v>
      </c>
      <c r="U15" s="15">
        <v>567597.37</v>
      </c>
      <c r="V15" s="12">
        <v>177537.38</v>
      </c>
      <c r="W15" s="12"/>
      <c r="X15" s="12"/>
      <c r="Y15" s="12"/>
      <c r="Z15" s="12"/>
      <c r="AA15" s="12"/>
      <c r="AB15" s="12">
        <v>1484</v>
      </c>
      <c r="AC15" s="12"/>
      <c r="AD15" s="12"/>
      <c r="AE15" s="12"/>
      <c r="AF15" s="12"/>
      <c r="AG15" s="12"/>
      <c r="AH15" s="12"/>
      <c r="AI15" s="12"/>
      <c r="AJ15" s="12">
        <f t="shared" si="15"/>
        <v>1484</v>
      </c>
      <c r="AK15" s="12"/>
      <c r="AL15" s="12"/>
      <c r="AM15" s="12"/>
      <c r="AN15" s="12"/>
      <c r="AO15" s="12"/>
      <c r="AP15" s="84" t="s">
        <v>88</v>
      </c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5"/>
      <c r="BD15" s="12"/>
      <c r="BE15" s="15">
        <v>62111.360000000001</v>
      </c>
      <c r="BF15" s="12"/>
      <c r="BG15" s="15">
        <f t="shared" si="16"/>
        <v>808730.11</v>
      </c>
      <c r="BH15" s="15"/>
      <c r="BI15" s="15"/>
      <c r="BJ15" s="24">
        <f t="shared" si="11"/>
        <v>4518.05</v>
      </c>
      <c r="BK15" s="58">
        <f>U15+W15</f>
        <v>567597.37</v>
      </c>
      <c r="BL15" s="58">
        <f t="shared" si="17"/>
        <v>177537.38</v>
      </c>
      <c r="BM15" s="58">
        <f t="shared" si="18"/>
        <v>0</v>
      </c>
      <c r="BN15" s="58">
        <f t="shared" si="19"/>
        <v>62111.360000000001</v>
      </c>
      <c r="BO15" s="58">
        <f t="shared" si="20"/>
        <v>0</v>
      </c>
      <c r="BP15" s="58">
        <f t="shared" si="21"/>
        <v>1484</v>
      </c>
      <c r="BQ15" s="58">
        <f t="shared" si="22"/>
        <v>808730.11</v>
      </c>
    </row>
  </sheetData>
  <mergeCells count="79">
    <mergeCell ref="Y4:AO4"/>
    <mergeCell ref="AQ4:AW4"/>
    <mergeCell ref="BM2:BP2"/>
    <mergeCell ref="BD4:BD8"/>
    <mergeCell ref="Y5:AA5"/>
    <mergeCell ref="AQ7:AQ8"/>
    <mergeCell ref="AW7:AW8"/>
    <mergeCell ref="AP4:AP8"/>
    <mergeCell ref="BK3:BQ3"/>
    <mergeCell ref="Y6:AA7"/>
    <mergeCell ref="AB6:AJ7"/>
    <mergeCell ref="U3:BJ3"/>
    <mergeCell ref="U4:X4"/>
    <mergeCell ref="U6:U8"/>
    <mergeCell ref="AQ6:AU6"/>
    <mergeCell ref="B1:S1"/>
    <mergeCell ref="Q3:R4"/>
    <mergeCell ref="S3:S8"/>
    <mergeCell ref="N5:N8"/>
    <mergeCell ref="G7:G8"/>
    <mergeCell ref="P3:P8"/>
    <mergeCell ref="D3:D8"/>
    <mergeCell ref="B2:S2"/>
    <mergeCell ref="E4:O4"/>
    <mergeCell ref="M5:M8"/>
    <mergeCell ref="F7:F8"/>
    <mergeCell ref="I5:I8"/>
    <mergeCell ref="J5:J8"/>
    <mergeCell ref="O5:O8"/>
    <mergeCell ref="E6:G6"/>
    <mergeCell ref="Q5:Q8"/>
    <mergeCell ref="E7:E8"/>
    <mergeCell ref="E5:G5"/>
    <mergeCell ref="K5:K8"/>
    <mergeCell ref="L5:L8"/>
    <mergeCell ref="T3:T8"/>
    <mergeCell ref="BB5:BB6"/>
    <mergeCell ref="V6:V8"/>
    <mergeCell ref="X6:X8"/>
    <mergeCell ref="U5:X5"/>
    <mergeCell ref="W6:W8"/>
    <mergeCell ref="AV7:AV8"/>
    <mergeCell ref="BB7:BB8"/>
    <mergeCell ref="AX5:BA5"/>
    <mergeCell ref="AZ7:BA8"/>
    <mergeCell ref="AS7:AU7"/>
    <mergeCell ref="AB5:AJ5"/>
    <mergeCell ref="AW1:BP1"/>
    <mergeCell ref="E3:O3"/>
    <mergeCell ref="BC4:BC8"/>
    <mergeCell ref="BH4:BH8"/>
    <mergeCell ref="AX7:AX8"/>
    <mergeCell ref="AY7:AY8"/>
    <mergeCell ref="AZ6:BA6"/>
    <mergeCell ref="BI4:BI8"/>
    <mergeCell ref="BK5:BK8"/>
    <mergeCell ref="BL5:BL8"/>
    <mergeCell ref="BE4:BE8"/>
    <mergeCell ref="BF4:BF8"/>
    <mergeCell ref="BG4:BG8"/>
    <mergeCell ref="BP5:BP8"/>
    <mergeCell ref="BM5:BM8"/>
    <mergeCell ref="BN5:BN8"/>
    <mergeCell ref="A10:A15"/>
    <mergeCell ref="B10:B15"/>
    <mergeCell ref="BO5:BO8"/>
    <mergeCell ref="A3:A8"/>
    <mergeCell ref="B3:B8"/>
    <mergeCell ref="C3:C8"/>
    <mergeCell ref="R5:R8"/>
    <mergeCell ref="H5:H8"/>
    <mergeCell ref="BK4:BQ4"/>
    <mergeCell ref="BJ4:BJ8"/>
    <mergeCell ref="BQ5:BQ8"/>
    <mergeCell ref="AX4:BB4"/>
    <mergeCell ref="AK5:AO5"/>
    <mergeCell ref="AQ5:AW5"/>
    <mergeCell ref="AK6:AO7"/>
    <mergeCell ref="AR7:AR8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V49"/>
  <sheetViews>
    <sheetView topLeftCell="F1" zoomScale="80" zoomScaleNormal="80" workbookViewId="0">
      <pane ySplit="9" topLeftCell="A18" activePane="bottomLeft" state="frozen"/>
      <selection pane="bottomLeft" activeCell="V26" sqref="V26:BI26"/>
    </sheetView>
  </sheetViews>
  <sheetFormatPr defaultRowHeight="15.75" outlineLevelCol="1"/>
  <cols>
    <col min="1" max="1" width="32.85546875" style="272" customWidth="1"/>
    <col min="2" max="2" width="31.140625" style="272" customWidth="1"/>
    <col min="3" max="3" width="20.85546875" style="3" customWidth="1"/>
    <col min="4" max="4" width="10.5703125" style="79" customWidth="1"/>
    <col min="5" max="5" width="14.85546875" style="3" customWidth="1"/>
    <col min="6" max="6" width="15.140625" style="3" customWidth="1"/>
    <col min="7" max="7" width="12.28515625" style="3" customWidth="1"/>
    <col min="8" max="8" width="13.5703125" style="3" customWidth="1"/>
    <col min="9" max="9" width="12.28515625" style="3" hidden="1" customWidth="1" outlineLevel="1"/>
    <col min="10" max="10" width="11.28515625" style="3" hidden="1" customWidth="1" outlineLevel="1"/>
    <col min="11" max="11" width="12.5703125" style="3" hidden="1" customWidth="1" outlineLevel="1"/>
    <col min="12" max="12" width="9.42578125" style="3" hidden="1" customWidth="1" outlineLevel="1"/>
    <col min="13" max="13" width="13" style="3" customWidth="1" collapsed="1"/>
    <col min="14" max="14" width="11.42578125" style="3" customWidth="1"/>
    <col min="15" max="15" width="16.5703125" style="3" customWidth="1"/>
    <col min="16" max="16" width="9.85546875" style="3" hidden="1" customWidth="1"/>
    <col min="17" max="17" width="14.42578125" style="3" customWidth="1"/>
    <col min="18" max="18" width="10.5703125" style="3" customWidth="1"/>
    <col min="19" max="19" width="9.42578125" style="3" customWidth="1"/>
    <col min="20" max="20" width="12.28515625" style="3" customWidth="1"/>
    <col min="21" max="21" width="16.140625" style="3" customWidth="1"/>
    <col min="22" max="22" width="17.5703125" style="173" customWidth="1"/>
    <col min="23" max="23" width="15" style="173" customWidth="1"/>
    <col min="24" max="25" width="15.28515625" style="173" hidden="1" customWidth="1" outlineLevel="1"/>
    <col min="26" max="26" width="14" style="173" hidden="1" customWidth="1" outlineLevel="1"/>
    <col min="27" max="27" width="13.5703125" style="173" hidden="1" customWidth="1" outlineLevel="1"/>
    <col min="28" max="28" width="12.42578125" style="173" hidden="1" customWidth="1" outlineLevel="1"/>
    <col min="29" max="29" width="13.42578125" style="173" hidden="1" customWidth="1" outlineLevel="1"/>
    <col min="30" max="30" width="9.85546875" style="173" hidden="1" customWidth="1" outlineLevel="1"/>
    <col min="31" max="31" width="9.140625" style="173" hidden="1" customWidth="1" outlineLevel="1"/>
    <col min="32" max="32" width="9.7109375" style="173" hidden="1" customWidth="1" outlineLevel="1"/>
    <col min="33" max="33" width="12.140625" style="173" hidden="1" customWidth="1" outlineLevel="1"/>
    <col min="34" max="34" width="11" style="173" hidden="1" customWidth="1" outlineLevel="1"/>
    <col min="35" max="35" width="12.7109375" style="173" hidden="1" customWidth="1" outlineLevel="1"/>
    <col min="36" max="36" width="12" style="173" hidden="1" customWidth="1" outlineLevel="1"/>
    <col min="37" max="37" width="13.85546875" style="173" hidden="1" customWidth="1" outlineLevel="1"/>
    <col min="38" max="38" width="11.85546875" style="173" hidden="1" customWidth="1" outlineLevel="1"/>
    <col min="39" max="39" width="9.5703125" style="173" hidden="1" customWidth="1" outlineLevel="1"/>
    <col min="40" max="40" width="11.28515625" style="173" hidden="1" customWidth="1" outlineLevel="1"/>
    <col min="41" max="41" width="12.5703125" style="173" hidden="1" customWidth="1" outlineLevel="1"/>
    <col min="42" max="42" width="10.42578125" style="173" hidden="1" customWidth="1" outlineLevel="1"/>
    <col min="43" max="43" width="12" style="173" hidden="1" customWidth="1" outlineLevel="1"/>
    <col min="44" max="44" width="19.85546875" style="79" hidden="1" customWidth="1" outlineLevel="1"/>
    <col min="45" max="45" width="13.42578125" style="173" hidden="1" customWidth="1" outlineLevel="1"/>
    <col min="46" max="46" width="13.7109375" style="173" hidden="1" customWidth="1" outlineLevel="1"/>
    <col min="47" max="47" width="15.28515625" style="173" hidden="1" customWidth="1" outlineLevel="1"/>
    <col min="48" max="48" width="13.7109375" style="173" hidden="1" customWidth="1" outlineLevel="1"/>
    <col min="49" max="49" width="8.42578125" style="173" hidden="1" customWidth="1" outlineLevel="1"/>
    <col min="50" max="50" width="14.5703125" style="173" hidden="1" customWidth="1" outlineLevel="1"/>
    <col min="51" max="51" width="11.140625" style="173" hidden="1" customWidth="1" outlineLevel="1"/>
    <col min="52" max="52" width="12.7109375" style="173" hidden="1" customWidth="1" outlineLevel="1"/>
    <col min="53" max="53" width="11" style="18" hidden="1" customWidth="1" outlineLevel="1"/>
    <col min="54" max="54" width="11.28515625" style="18" hidden="1" customWidth="1" outlineLevel="1"/>
    <col min="55" max="55" width="9.28515625" style="18" hidden="1" customWidth="1" outlineLevel="1"/>
    <col min="56" max="56" width="13.5703125" style="18" hidden="1" customWidth="1" outlineLevel="1"/>
    <col min="57" max="57" width="17.140625" style="18" customWidth="1" collapsed="1"/>
    <col min="58" max="58" width="12.7109375" style="18" hidden="1" customWidth="1"/>
    <col min="59" max="59" width="20" style="18" customWidth="1"/>
    <col min="60" max="60" width="13" style="18" hidden="1" customWidth="1" outlineLevel="1"/>
    <col min="61" max="61" width="16.7109375" style="18" customWidth="1" collapsed="1"/>
    <col min="62" max="62" width="9.140625" style="245" hidden="1" customWidth="1" outlineLevel="1"/>
    <col min="63" max="63" width="13.5703125" style="245" hidden="1" customWidth="1" outlineLevel="1"/>
    <col min="64" max="64" width="15" style="245" customWidth="1" collapsed="1"/>
    <col min="65" max="65" width="15" style="79" hidden="1" customWidth="1"/>
    <col min="66" max="66" width="13.7109375" style="71" customWidth="1"/>
    <col min="67" max="67" width="16.140625" style="71" customWidth="1"/>
    <col min="68" max="68" width="8.140625" style="71" hidden="1" customWidth="1"/>
    <col min="69" max="69" width="16.28515625" style="71" customWidth="1"/>
    <col min="70" max="70" width="17.42578125" style="71" customWidth="1"/>
    <col min="71" max="71" width="8.42578125" style="71" hidden="1" customWidth="1"/>
    <col min="72" max="72" width="18" style="71" customWidth="1"/>
    <col min="73" max="74" width="12.42578125" bestFit="1" customWidth="1"/>
  </cols>
  <sheetData>
    <row r="1" spans="1:72" ht="20.25" customHeight="1">
      <c r="A1" s="664" t="s">
        <v>414</v>
      </c>
      <c r="B1" s="664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246"/>
      <c r="AS1" s="19"/>
      <c r="AT1" s="19"/>
      <c r="AU1" s="19"/>
      <c r="AV1" s="19"/>
      <c r="AW1" s="19"/>
      <c r="AX1" s="19"/>
      <c r="AY1" s="818"/>
      <c r="AZ1" s="818"/>
      <c r="BA1" s="818"/>
      <c r="BB1" s="818"/>
      <c r="BC1" s="818"/>
      <c r="BD1" s="818"/>
      <c r="BE1" s="818"/>
      <c r="BF1" s="818"/>
      <c r="BG1" s="818"/>
      <c r="BH1" s="818"/>
      <c r="BI1" s="818"/>
      <c r="BJ1" s="818"/>
      <c r="BK1" s="818"/>
      <c r="BL1" s="818"/>
      <c r="BM1" s="818"/>
      <c r="BN1" s="818"/>
      <c r="BO1" s="818"/>
      <c r="BP1" s="818"/>
      <c r="BQ1" s="818"/>
      <c r="BR1" s="818"/>
      <c r="BS1" s="818"/>
    </row>
    <row r="2" spans="1:72" ht="21.75" customHeight="1">
      <c r="A2" s="268"/>
      <c r="B2" s="718" t="s">
        <v>334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6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246"/>
      <c r="AS2" s="19"/>
      <c r="AT2" s="19"/>
      <c r="AU2" s="19"/>
      <c r="AV2" s="19"/>
      <c r="AW2" s="19"/>
      <c r="AX2" s="19"/>
      <c r="AY2" s="19"/>
      <c r="AZ2" s="19"/>
      <c r="BM2" s="246"/>
    </row>
    <row r="3" spans="1:72" ht="23.25" customHeight="1">
      <c r="A3" s="268"/>
      <c r="B3" s="819" t="s">
        <v>420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6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46"/>
      <c r="AS3" s="19"/>
      <c r="AT3" s="19"/>
      <c r="AU3" s="19"/>
      <c r="AV3" s="19"/>
      <c r="AW3" s="19"/>
      <c r="AX3" s="19"/>
      <c r="AY3" s="19"/>
      <c r="AZ3" s="19"/>
      <c r="BM3" s="246"/>
    </row>
    <row r="4" spans="1:72" ht="28.5" customHeight="1">
      <c r="A4" s="801" t="s">
        <v>0</v>
      </c>
      <c r="B4" s="801" t="s">
        <v>168</v>
      </c>
      <c r="C4" s="711" t="s">
        <v>2</v>
      </c>
      <c r="D4" s="711" t="s">
        <v>1</v>
      </c>
      <c r="E4" s="731" t="s">
        <v>68</v>
      </c>
      <c r="F4" s="722" t="s">
        <v>61</v>
      </c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680" t="s">
        <v>55</v>
      </c>
      <c r="R4" s="680" t="s">
        <v>56</v>
      </c>
      <c r="S4" s="712"/>
      <c r="T4" s="821" t="s">
        <v>54</v>
      </c>
      <c r="U4" s="731" t="s">
        <v>68</v>
      </c>
      <c r="V4" s="816" t="s">
        <v>60</v>
      </c>
      <c r="W4" s="816"/>
      <c r="X4" s="816"/>
      <c r="Y4" s="817"/>
      <c r="Z4" s="817"/>
      <c r="AA4" s="817"/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7"/>
      <c r="AY4" s="817"/>
      <c r="AZ4" s="817"/>
      <c r="BA4" s="817"/>
      <c r="BB4" s="817"/>
      <c r="BC4" s="817"/>
      <c r="BD4" s="817"/>
      <c r="BE4" s="817"/>
      <c r="BF4" s="817"/>
      <c r="BG4" s="817"/>
      <c r="BH4" s="817"/>
      <c r="BI4" s="817"/>
      <c r="BJ4" s="817"/>
      <c r="BK4" s="817"/>
      <c r="BL4" s="817"/>
      <c r="BM4" s="340"/>
      <c r="BN4" s="687"/>
      <c r="BO4" s="687"/>
      <c r="BP4" s="687"/>
      <c r="BQ4" s="687"/>
      <c r="BR4" s="687"/>
      <c r="BS4" s="687"/>
      <c r="BT4" s="687"/>
    </row>
    <row r="5" spans="1:72" s="1" customFormat="1" ht="33" customHeight="1">
      <c r="A5" s="802"/>
      <c r="B5" s="802"/>
      <c r="C5" s="712"/>
      <c r="D5" s="815"/>
      <c r="E5" s="712"/>
      <c r="F5" s="680" t="s">
        <v>59</v>
      </c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712"/>
      <c r="R5" s="712"/>
      <c r="S5" s="712"/>
      <c r="T5" s="822"/>
      <c r="U5" s="712"/>
      <c r="V5" s="676" t="s">
        <v>62</v>
      </c>
      <c r="W5" s="676"/>
      <c r="X5" s="676"/>
      <c r="Y5" s="677"/>
      <c r="Z5" s="812" t="s">
        <v>8</v>
      </c>
      <c r="AA5" s="813"/>
      <c r="AB5" s="813"/>
      <c r="AC5" s="813"/>
      <c r="AD5" s="813"/>
      <c r="AE5" s="813"/>
      <c r="AF5" s="813"/>
      <c r="AG5" s="813"/>
      <c r="AH5" s="813"/>
      <c r="AI5" s="813"/>
      <c r="AJ5" s="813"/>
      <c r="AK5" s="813"/>
      <c r="AL5" s="813"/>
      <c r="AM5" s="813"/>
      <c r="AN5" s="813"/>
      <c r="AO5" s="813"/>
      <c r="AP5" s="813"/>
      <c r="AQ5" s="814"/>
      <c r="AR5" s="673" t="s">
        <v>68</v>
      </c>
      <c r="AS5" s="812" t="s">
        <v>19</v>
      </c>
      <c r="AT5" s="813"/>
      <c r="AU5" s="813"/>
      <c r="AV5" s="813"/>
      <c r="AW5" s="813"/>
      <c r="AX5" s="813"/>
      <c r="AY5" s="814"/>
      <c r="AZ5" s="693" t="s">
        <v>19</v>
      </c>
      <c r="BA5" s="768"/>
      <c r="BB5" s="768"/>
      <c r="BC5" s="768"/>
      <c r="BD5" s="694"/>
      <c r="BE5" s="676" t="s">
        <v>20</v>
      </c>
      <c r="BF5" s="676" t="s">
        <v>100</v>
      </c>
      <c r="BG5" s="676" t="s">
        <v>13</v>
      </c>
      <c r="BH5" s="676" t="s">
        <v>21</v>
      </c>
      <c r="BI5" s="676" t="s">
        <v>22</v>
      </c>
      <c r="BJ5" s="704" t="s">
        <v>23</v>
      </c>
      <c r="BK5" s="704" t="s">
        <v>24</v>
      </c>
      <c r="BL5" s="811" t="s">
        <v>25</v>
      </c>
      <c r="BM5" s="731" t="s">
        <v>68</v>
      </c>
      <c r="BN5" s="687" t="s">
        <v>129</v>
      </c>
      <c r="BO5" s="687"/>
      <c r="BP5" s="687"/>
      <c r="BQ5" s="687"/>
      <c r="BR5" s="687"/>
      <c r="BS5" s="687"/>
      <c r="BT5" s="687"/>
    </row>
    <row r="6" spans="1:72" s="2" customFormat="1" ht="46.5" customHeight="1">
      <c r="A6" s="802"/>
      <c r="B6" s="802"/>
      <c r="C6" s="712"/>
      <c r="D6" s="815"/>
      <c r="E6" s="712"/>
      <c r="F6" s="680" t="s">
        <v>53</v>
      </c>
      <c r="G6" s="681"/>
      <c r="H6" s="681"/>
      <c r="I6" s="680" t="s">
        <v>27</v>
      </c>
      <c r="J6" s="680" t="s">
        <v>10</v>
      </c>
      <c r="K6" s="680" t="s">
        <v>5</v>
      </c>
      <c r="L6" s="680" t="s">
        <v>51</v>
      </c>
      <c r="M6" s="680" t="s">
        <v>136</v>
      </c>
      <c r="N6" s="680" t="s">
        <v>125</v>
      </c>
      <c r="O6" s="680" t="s">
        <v>13</v>
      </c>
      <c r="P6" s="680" t="s">
        <v>21</v>
      </c>
      <c r="Q6" s="712"/>
      <c r="R6" s="680" t="s">
        <v>16</v>
      </c>
      <c r="S6" s="680" t="s">
        <v>52</v>
      </c>
      <c r="T6" s="822"/>
      <c r="U6" s="712"/>
      <c r="V6" s="676" t="s">
        <v>66</v>
      </c>
      <c r="W6" s="677"/>
      <c r="X6" s="677"/>
      <c r="Y6" s="677"/>
      <c r="Z6" s="693" t="s">
        <v>63</v>
      </c>
      <c r="AA6" s="768"/>
      <c r="AB6" s="694"/>
      <c r="AC6" s="805">
        <v>340</v>
      </c>
      <c r="AD6" s="806"/>
      <c r="AE6" s="806"/>
      <c r="AF6" s="806"/>
      <c r="AG6" s="806"/>
      <c r="AH6" s="806"/>
      <c r="AI6" s="806"/>
      <c r="AJ6" s="806"/>
      <c r="AK6" s="807"/>
      <c r="AL6" s="693" t="s">
        <v>4</v>
      </c>
      <c r="AM6" s="768"/>
      <c r="AN6" s="768"/>
      <c r="AO6" s="768"/>
      <c r="AP6" s="768"/>
      <c r="AQ6" s="694"/>
      <c r="AR6" s="803"/>
      <c r="AS6" s="693" t="s">
        <v>5</v>
      </c>
      <c r="AT6" s="768"/>
      <c r="AU6" s="768"/>
      <c r="AV6" s="768"/>
      <c r="AW6" s="768"/>
      <c r="AX6" s="768"/>
      <c r="AY6" s="694"/>
      <c r="AZ6" s="693" t="s">
        <v>6</v>
      </c>
      <c r="BA6" s="768"/>
      <c r="BB6" s="768"/>
      <c r="BC6" s="694"/>
      <c r="BD6" s="793">
        <v>290</v>
      </c>
      <c r="BE6" s="676"/>
      <c r="BF6" s="676"/>
      <c r="BG6" s="676"/>
      <c r="BH6" s="676"/>
      <c r="BI6" s="676"/>
      <c r="BJ6" s="704"/>
      <c r="BK6" s="704"/>
      <c r="BL6" s="811"/>
      <c r="BM6" s="815"/>
      <c r="BN6" s="691">
        <v>2110</v>
      </c>
      <c r="BO6" s="691">
        <v>2130</v>
      </c>
      <c r="BP6" s="691">
        <v>2230</v>
      </c>
      <c r="BQ6" s="691">
        <v>7500</v>
      </c>
      <c r="BR6" s="691">
        <v>7520</v>
      </c>
      <c r="BS6" s="691">
        <v>7660</v>
      </c>
      <c r="BT6" s="691" t="s">
        <v>130</v>
      </c>
    </row>
    <row r="7" spans="1:72" s="2" customFormat="1" ht="30" customHeight="1">
      <c r="A7" s="802"/>
      <c r="B7" s="802"/>
      <c r="C7" s="712"/>
      <c r="D7" s="815"/>
      <c r="E7" s="712"/>
      <c r="F7" s="680" t="s">
        <v>26</v>
      </c>
      <c r="G7" s="680"/>
      <c r="H7" s="680"/>
      <c r="I7" s="681"/>
      <c r="J7" s="681"/>
      <c r="K7" s="681"/>
      <c r="L7" s="681"/>
      <c r="M7" s="681"/>
      <c r="N7" s="681"/>
      <c r="O7" s="681"/>
      <c r="P7" s="681"/>
      <c r="Q7" s="712"/>
      <c r="R7" s="681"/>
      <c r="S7" s="681"/>
      <c r="T7" s="822"/>
      <c r="U7" s="712"/>
      <c r="V7" s="676" t="s">
        <v>3</v>
      </c>
      <c r="W7" s="676" t="s">
        <v>64</v>
      </c>
      <c r="X7" s="793" t="s">
        <v>12</v>
      </c>
      <c r="Y7" s="793" t="s">
        <v>65</v>
      </c>
      <c r="Z7" s="795" t="s">
        <v>16</v>
      </c>
      <c r="AA7" s="796"/>
      <c r="AB7" s="797"/>
      <c r="AC7" s="795" t="s">
        <v>27</v>
      </c>
      <c r="AD7" s="796"/>
      <c r="AE7" s="796"/>
      <c r="AF7" s="796"/>
      <c r="AG7" s="796"/>
      <c r="AH7" s="796"/>
      <c r="AI7" s="796"/>
      <c r="AJ7" s="796"/>
      <c r="AK7" s="797"/>
      <c r="AL7" s="795" t="s">
        <v>10</v>
      </c>
      <c r="AM7" s="796"/>
      <c r="AN7" s="796"/>
      <c r="AO7" s="796"/>
      <c r="AP7" s="796"/>
      <c r="AQ7" s="797"/>
      <c r="AR7" s="803"/>
      <c r="AS7" s="805">
        <v>225</v>
      </c>
      <c r="AT7" s="806"/>
      <c r="AU7" s="806"/>
      <c r="AV7" s="806"/>
      <c r="AW7" s="807"/>
      <c r="AX7" s="47">
        <v>290</v>
      </c>
      <c r="AY7" s="47">
        <v>224</v>
      </c>
      <c r="AZ7" s="20" t="s">
        <v>4</v>
      </c>
      <c r="BA7" s="20" t="s">
        <v>4</v>
      </c>
      <c r="BB7" s="693" t="s">
        <v>4</v>
      </c>
      <c r="BC7" s="694"/>
      <c r="BD7" s="794"/>
      <c r="BE7" s="676"/>
      <c r="BF7" s="676"/>
      <c r="BG7" s="676"/>
      <c r="BH7" s="676"/>
      <c r="BI7" s="676"/>
      <c r="BJ7" s="704"/>
      <c r="BK7" s="704"/>
      <c r="BL7" s="811"/>
      <c r="BM7" s="815"/>
      <c r="BN7" s="691"/>
      <c r="BO7" s="691"/>
      <c r="BP7" s="691"/>
      <c r="BQ7" s="691"/>
      <c r="BR7" s="691"/>
      <c r="BS7" s="691"/>
      <c r="BT7" s="691"/>
    </row>
    <row r="8" spans="1:72" s="2" customFormat="1" ht="36.75" customHeight="1">
      <c r="A8" s="802"/>
      <c r="B8" s="802"/>
      <c r="C8" s="712"/>
      <c r="D8" s="815"/>
      <c r="E8" s="712"/>
      <c r="F8" s="680" t="s">
        <v>3</v>
      </c>
      <c r="G8" s="680" t="s">
        <v>12</v>
      </c>
      <c r="H8" s="680" t="s">
        <v>11</v>
      </c>
      <c r="I8" s="681"/>
      <c r="J8" s="681"/>
      <c r="K8" s="681"/>
      <c r="L8" s="681"/>
      <c r="M8" s="681"/>
      <c r="N8" s="681"/>
      <c r="O8" s="681"/>
      <c r="P8" s="681"/>
      <c r="Q8" s="712"/>
      <c r="R8" s="681"/>
      <c r="S8" s="681"/>
      <c r="T8" s="822"/>
      <c r="U8" s="712"/>
      <c r="V8" s="677"/>
      <c r="W8" s="677"/>
      <c r="X8" s="810"/>
      <c r="Y8" s="810"/>
      <c r="Z8" s="798"/>
      <c r="AA8" s="799"/>
      <c r="AB8" s="800"/>
      <c r="AC8" s="798"/>
      <c r="AD8" s="799"/>
      <c r="AE8" s="799"/>
      <c r="AF8" s="799"/>
      <c r="AG8" s="799"/>
      <c r="AH8" s="799"/>
      <c r="AI8" s="799"/>
      <c r="AJ8" s="799"/>
      <c r="AK8" s="800"/>
      <c r="AL8" s="798"/>
      <c r="AM8" s="799"/>
      <c r="AN8" s="799"/>
      <c r="AO8" s="799"/>
      <c r="AP8" s="799"/>
      <c r="AQ8" s="800"/>
      <c r="AR8" s="803"/>
      <c r="AS8" s="793" t="s">
        <v>28</v>
      </c>
      <c r="AT8" s="793" t="s">
        <v>29</v>
      </c>
      <c r="AU8" s="693" t="s">
        <v>119</v>
      </c>
      <c r="AV8" s="768"/>
      <c r="AW8" s="694"/>
      <c r="AX8" s="793" t="s">
        <v>31</v>
      </c>
      <c r="AY8" s="793" t="s">
        <v>124</v>
      </c>
      <c r="AZ8" s="793" t="s">
        <v>333</v>
      </c>
      <c r="BA8" s="793" t="s">
        <v>332</v>
      </c>
      <c r="BB8" s="693" t="s">
        <v>34</v>
      </c>
      <c r="BC8" s="694"/>
      <c r="BD8" s="793" t="s">
        <v>126</v>
      </c>
      <c r="BE8" s="676"/>
      <c r="BF8" s="676"/>
      <c r="BG8" s="676"/>
      <c r="BH8" s="676"/>
      <c r="BI8" s="676"/>
      <c r="BJ8" s="704"/>
      <c r="BK8" s="704"/>
      <c r="BL8" s="811"/>
      <c r="BM8" s="815"/>
      <c r="BN8" s="691"/>
      <c r="BO8" s="691"/>
      <c r="BP8" s="691"/>
      <c r="BQ8" s="691"/>
      <c r="BR8" s="691"/>
      <c r="BS8" s="691"/>
      <c r="BT8" s="691"/>
    </row>
    <row r="9" spans="1:72" s="2" customFormat="1" ht="32.25" customHeight="1">
      <c r="A9" s="802"/>
      <c r="B9" s="802"/>
      <c r="C9" s="712"/>
      <c r="D9" s="815"/>
      <c r="E9" s="712"/>
      <c r="F9" s="680"/>
      <c r="G9" s="680"/>
      <c r="H9" s="680"/>
      <c r="I9" s="681"/>
      <c r="J9" s="681"/>
      <c r="K9" s="681"/>
      <c r="L9" s="681"/>
      <c r="M9" s="681"/>
      <c r="N9" s="681"/>
      <c r="O9" s="681"/>
      <c r="P9" s="681"/>
      <c r="Q9" s="712"/>
      <c r="R9" s="681"/>
      <c r="S9" s="681"/>
      <c r="T9" s="822"/>
      <c r="U9" s="712"/>
      <c r="V9" s="677"/>
      <c r="W9" s="677"/>
      <c r="X9" s="794"/>
      <c r="Y9" s="794"/>
      <c r="Z9" s="20" t="s">
        <v>9</v>
      </c>
      <c r="AA9" s="20" t="s">
        <v>17</v>
      </c>
      <c r="AB9" s="20" t="s">
        <v>18</v>
      </c>
      <c r="AC9" s="20" t="s">
        <v>36</v>
      </c>
      <c r="AD9" s="20" t="s">
        <v>37</v>
      </c>
      <c r="AE9" s="20" t="s">
        <v>38</v>
      </c>
      <c r="AF9" s="20" t="s">
        <v>39</v>
      </c>
      <c r="AG9" s="20" t="s">
        <v>40</v>
      </c>
      <c r="AH9" s="20" t="s">
        <v>14</v>
      </c>
      <c r="AI9" s="20" t="s">
        <v>41</v>
      </c>
      <c r="AJ9" s="20" t="s">
        <v>15</v>
      </c>
      <c r="AK9" s="20" t="s">
        <v>42</v>
      </c>
      <c r="AL9" s="20" t="s">
        <v>43</v>
      </c>
      <c r="AM9" s="20" t="s">
        <v>44</v>
      </c>
      <c r="AN9" s="20" t="s">
        <v>45</v>
      </c>
      <c r="AO9" s="20" t="s">
        <v>331</v>
      </c>
      <c r="AP9" s="20" t="s">
        <v>46</v>
      </c>
      <c r="AQ9" s="20" t="s">
        <v>47</v>
      </c>
      <c r="AR9" s="804"/>
      <c r="AS9" s="794"/>
      <c r="AT9" s="794"/>
      <c r="AU9" s="20" t="s">
        <v>48</v>
      </c>
      <c r="AV9" s="20" t="s">
        <v>49</v>
      </c>
      <c r="AW9" s="20" t="s">
        <v>50</v>
      </c>
      <c r="AX9" s="794"/>
      <c r="AY9" s="794"/>
      <c r="AZ9" s="794"/>
      <c r="BA9" s="794"/>
      <c r="BB9" s="20"/>
      <c r="BC9" s="20"/>
      <c r="BD9" s="794"/>
      <c r="BE9" s="676"/>
      <c r="BF9" s="676"/>
      <c r="BG9" s="676"/>
      <c r="BH9" s="676"/>
      <c r="BI9" s="676"/>
      <c r="BJ9" s="704"/>
      <c r="BK9" s="704"/>
      <c r="BL9" s="811"/>
      <c r="BM9" s="815"/>
      <c r="BN9" s="691"/>
      <c r="BO9" s="691"/>
      <c r="BP9" s="691"/>
      <c r="BQ9" s="691"/>
      <c r="BR9" s="691"/>
      <c r="BS9" s="691"/>
      <c r="BT9" s="691"/>
    </row>
    <row r="10" spans="1:72" s="2" customFormat="1" ht="32.25" customHeight="1">
      <c r="A10" s="778" t="s">
        <v>335</v>
      </c>
      <c r="B10" s="786" t="s">
        <v>420</v>
      </c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356"/>
      <c r="V10" s="322"/>
      <c r="W10" s="322"/>
      <c r="X10" s="322"/>
      <c r="Y10" s="322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57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41"/>
      <c r="BK10" s="341"/>
      <c r="BL10" s="341"/>
      <c r="BM10" s="357"/>
      <c r="BN10" s="358"/>
      <c r="BO10" s="358"/>
      <c r="BP10" s="358"/>
      <c r="BQ10" s="358"/>
      <c r="BR10" s="358"/>
      <c r="BS10" s="358"/>
      <c r="BT10" s="358"/>
    </row>
    <row r="11" spans="1:72" s="2" customFormat="1" ht="32.25" hidden="1" customHeight="1">
      <c r="A11" s="788"/>
      <c r="B11" s="346" t="s">
        <v>340</v>
      </c>
      <c r="C11" s="789" t="s">
        <v>172</v>
      </c>
      <c r="D11" s="288"/>
      <c r="E11" s="790" t="s">
        <v>339</v>
      </c>
      <c r="F11" s="347" t="e">
        <f t="shared" ref="F11:F24" si="0">ROUND((V11+W11)/D11,3)</f>
        <v>#DIV/0!</v>
      </c>
      <c r="G11" s="347" t="e">
        <f t="shared" ref="G11:G24" si="1">ROUND((X11+Y11)/D11,3)</f>
        <v>#DIV/0!</v>
      </c>
      <c r="H11" s="347" t="e">
        <f t="shared" ref="H11:H26" si="2">F11+G11</f>
        <v>#DIV/0!</v>
      </c>
      <c r="I11" s="347" t="e">
        <f t="shared" ref="I11:I24" si="3">ROUND(AK11/D11,3)</f>
        <v>#DIV/0!</v>
      </c>
      <c r="J11" s="347" t="e">
        <f t="shared" ref="J11:J24" si="4">ROUND((AL11+AM11+AN11+AP11+AQ11+AO11)/D11,3)</f>
        <v>#DIV/0!</v>
      </c>
      <c r="K11" s="347" t="e">
        <f t="shared" ref="K11:K24" si="5">ROUND((AS11+AT11+AU11+AV11+AW11)/D11,3)</f>
        <v>#DIV/0!</v>
      </c>
      <c r="L11" s="347" t="e">
        <f>ROUND((AZ11+BA11)/D11,3)</f>
        <v>#DIV/0!</v>
      </c>
      <c r="M11" s="348" t="e">
        <f t="shared" ref="M11:M17" si="6">ROUND(BE11/D11,3)</f>
        <v>#DIV/0!</v>
      </c>
      <c r="N11" s="348" t="e">
        <f t="shared" ref="N11:N24" si="7">BF11/D11</f>
        <v>#DIV/0!</v>
      </c>
      <c r="O11" s="287" t="e">
        <f t="shared" ref="O11:O17" si="8">ROUND(BG11/D11,3)</f>
        <v>#DIV/0!</v>
      </c>
      <c r="P11" s="348" t="e">
        <f t="shared" ref="P11:P24" si="9">ROUND(BH11/D11,2)</f>
        <v>#DIV/0!</v>
      </c>
      <c r="Q11" s="347" t="e">
        <f t="shared" ref="Q11:Q20" si="10">P11+O11+M11+L11+K11+J11+I11+H11+N11</f>
        <v>#DIV/0!</v>
      </c>
      <c r="R11" s="347" t="e">
        <f>ROUND((Z11+AA11+AB11)/D11,3)</f>
        <v>#DIV/0!</v>
      </c>
      <c r="S11" s="347" t="e">
        <f t="shared" ref="S11:S24" si="11">ROUND((AX11+BD11)/D11,2)</f>
        <v>#DIV/0!</v>
      </c>
      <c r="T11" s="349" t="e">
        <f t="shared" ref="T11:T25" si="12">Q11+R11+S11</f>
        <v>#DIV/0!</v>
      </c>
      <c r="U11" s="790" t="s">
        <v>339</v>
      </c>
      <c r="V11" s="350"/>
      <c r="W11" s="350"/>
      <c r="X11" s="350"/>
      <c r="Y11" s="350"/>
      <c r="Z11" s="351"/>
      <c r="AA11" s="351"/>
      <c r="AB11" s="351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1"/>
      <c r="AP11" s="350"/>
      <c r="AQ11" s="352"/>
      <c r="AR11" s="667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1"/>
      <c r="BD11" s="351"/>
      <c r="BE11" s="351"/>
      <c r="BF11" s="351"/>
      <c r="BG11" s="351"/>
      <c r="BH11" s="351"/>
      <c r="BI11" s="347"/>
      <c r="BJ11" s="351"/>
      <c r="BK11" s="351">
        <f>V11+W11+X11+Y11+Z11+AA11+AB11+AK11+AL11+AM11+AN11+AP11+AS11+AT11+AU11+AX11+AY11+AZ11+BA11+BB11+BC11+BD11+BE11+BF11+BG11+BI11+BJ11+BH11</f>
        <v>0</v>
      </c>
      <c r="BL11" s="353" t="e">
        <f t="shared" ref="BL11:BL25" si="13">ROUND(BI11/D11,2)</f>
        <v>#DIV/0!</v>
      </c>
      <c r="BM11" s="772" t="s">
        <v>182</v>
      </c>
      <c r="BN11" s="354">
        <f t="shared" ref="BN11:BO16" si="14">V11+X11</f>
        <v>0</v>
      </c>
      <c r="BO11" s="354">
        <f t="shared" si="14"/>
        <v>0</v>
      </c>
      <c r="BP11" s="354">
        <f t="shared" ref="BP11:BP16" si="15">Z11+AA11+AB11</f>
        <v>0</v>
      </c>
      <c r="BQ11" s="354">
        <f t="shared" ref="BQ11:BQ16" si="16">BG11</f>
        <v>0</v>
      </c>
      <c r="BR11" s="354">
        <f t="shared" ref="BR11:BR16" si="17">BE11+BF11</f>
        <v>0</v>
      </c>
      <c r="BS11" s="354">
        <f t="shared" ref="BS11:BS16" si="18">AC11+AD11+AE11+AF11+AG11+AH11+AI11+AJ11+AL11+AM11+AN11+AP11+AQ11+AS11+AT11+AU11+AV11+AW11+AX11+AY11+AZ11+BA11+BB11+BC11+BD11+BH11+AO11</f>
        <v>0</v>
      </c>
      <c r="BT11" s="355">
        <f t="shared" ref="BT11:BT16" si="19">BN11+BO11+BP11+BQ11+BS11+BR11</f>
        <v>0</v>
      </c>
    </row>
    <row r="12" spans="1:72" s="2" customFormat="1" ht="32.25" customHeight="1">
      <c r="A12" s="788"/>
      <c r="B12" s="274" t="s">
        <v>341</v>
      </c>
      <c r="C12" s="660"/>
      <c r="D12" s="64">
        <v>13</v>
      </c>
      <c r="E12" s="791"/>
      <c r="F12" s="205">
        <f t="shared" si="0"/>
        <v>53737.076999999997</v>
      </c>
      <c r="G12" s="205">
        <f t="shared" si="1"/>
        <v>0</v>
      </c>
      <c r="H12" s="205">
        <f t="shared" si="2"/>
        <v>53737.076999999997</v>
      </c>
      <c r="I12" s="205">
        <f t="shared" si="3"/>
        <v>0</v>
      </c>
      <c r="J12" s="205">
        <f t="shared" si="4"/>
        <v>0</v>
      </c>
      <c r="K12" s="205">
        <f t="shared" si="5"/>
        <v>0</v>
      </c>
      <c r="L12" s="205">
        <f>ROUND((AZ12+BA12)/D12,3)</f>
        <v>0</v>
      </c>
      <c r="M12" s="213">
        <f t="shared" si="6"/>
        <v>1765.769</v>
      </c>
      <c r="N12" s="213">
        <f t="shared" si="7"/>
        <v>0</v>
      </c>
      <c r="O12" s="37">
        <f t="shared" si="8"/>
        <v>260597.15400000001</v>
      </c>
      <c r="P12" s="213">
        <f t="shared" si="9"/>
        <v>0</v>
      </c>
      <c r="Q12" s="205">
        <f t="shared" si="10"/>
        <v>316100</v>
      </c>
      <c r="R12" s="205">
        <f>ROUND((Z12+AA12+AB12)/D12,3)</f>
        <v>0</v>
      </c>
      <c r="S12" s="205">
        <f t="shared" si="11"/>
        <v>0</v>
      </c>
      <c r="T12" s="396">
        <f t="shared" si="12"/>
        <v>316100</v>
      </c>
      <c r="U12" s="791"/>
      <c r="V12" s="566">
        <v>536545</v>
      </c>
      <c r="W12" s="566">
        <v>162037</v>
      </c>
      <c r="X12" s="12"/>
      <c r="Y12" s="12"/>
      <c r="Z12" s="15"/>
      <c r="AA12" s="15"/>
      <c r="AB12" s="15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5"/>
      <c r="AP12" s="12"/>
      <c r="AQ12" s="12"/>
      <c r="AR12" s="771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566">
        <v>22955</v>
      </c>
      <c r="BF12" s="15"/>
      <c r="BG12" s="566">
        <v>3387763</v>
      </c>
      <c r="BH12" s="15"/>
      <c r="BI12" s="205">
        <f>V12+W12+BE12+BG12</f>
        <v>4109300</v>
      </c>
      <c r="BJ12" s="15"/>
      <c r="BK12" s="15"/>
      <c r="BL12" s="206">
        <f t="shared" si="13"/>
        <v>316100</v>
      </c>
      <c r="BM12" s="773"/>
      <c r="BN12" s="207">
        <f t="shared" si="14"/>
        <v>536545</v>
      </c>
      <c r="BO12" s="207">
        <f t="shared" si="14"/>
        <v>162037</v>
      </c>
      <c r="BP12" s="207">
        <f t="shared" si="15"/>
        <v>0</v>
      </c>
      <c r="BQ12" s="207">
        <f t="shared" si="16"/>
        <v>3387763</v>
      </c>
      <c r="BR12" s="207">
        <f t="shared" si="17"/>
        <v>22955</v>
      </c>
      <c r="BS12" s="207">
        <f t="shared" si="18"/>
        <v>0</v>
      </c>
      <c r="BT12" s="208">
        <f t="shared" si="19"/>
        <v>4109300</v>
      </c>
    </row>
    <row r="13" spans="1:72" s="2" customFormat="1" ht="32.25" customHeight="1">
      <c r="A13" s="788"/>
      <c r="B13" s="157" t="s">
        <v>346</v>
      </c>
      <c r="C13" s="660"/>
      <c r="D13" s="64">
        <v>8</v>
      </c>
      <c r="E13" s="792"/>
      <c r="F13" s="205">
        <f t="shared" si="0"/>
        <v>38932.375</v>
      </c>
      <c r="G13" s="205">
        <f t="shared" si="1"/>
        <v>0</v>
      </c>
      <c r="H13" s="205">
        <f t="shared" si="2"/>
        <v>38932.375</v>
      </c>
      <c r="I13" s="205">
        <f t="shared" si="3"/>
        <v>0</v>
      </c>
      <c r="J13" s="205">
        <f t="shared" si="4"/>
        <v>0</v>
      </c>
      <c r="K13" s="205">
        <f t="shared" si="5"/>
        <v>0</v>
      </c>
      <c r="L13" s="205">
        <f>ROUND((AZ13+BA13)/D13,3)</f>
        <v>0</v>
      </c>
      <c r="M13" s="213">
        <f t="shared" si="6"/>
        <v>1214.625</v>
      </c>
      <c r="N13" s="213">
        <f t="shared" si="7"/>
        <v>0</v>
      </c>
      <c r="O13" s="37">
        <f t="shared" si="8"/>
        <v>109593</v>
      </c>
      <c r="P13" s="213">
        <f t="shared" si="9"/>
        <v>0</v>
      </c>
      <c r="Q13" s="205">
        <f t="shared" si="10"/>
        <v>149740</v>
      </c>
      <c r="R13" s="205">
        <f>ROUND((Z13+AA13+AB13)/D13,3)</f>
        <v>0</v>
      </c>
      <c r="S13" s="205">
        <f t="shared" si="11"/>
        <v>0</v>
      </c>
      <c r="T13" s="396">
        <f t="shared" si="12"/>
        <v>149740</v>
      </c>
      <c r="U13" s="792"/>
      <c r="V13" s="566">
        <v>239216</v>
      </c>
      <c r="W13" s="566">
        <v>72243</v>
      </c>
      <c r="X13" s="12"/>
      <c r="Y13" s="12"/>
      <c r="Z13" s="15"/>
      <c r="AA13" s="15"/>
      <c r="AB13" s="15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5"/>
      <c r="AP13" s="12"/>
      <c r="AQ13" s="12"/>
      <c r="AR13" s="771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566">
        <v>9717</v>
      </c>
      <c r="BF13" s="15"/>
      <c r="BG13" s="566">
        <v>876744</v>
      </c>
      <c r="BH13" s="15"/>
      <c r="BI13" s="205">
        <f t="shared" ref="BI13:BI19" si="20">V13+W13+BE13+BG13</f>
        <v>1197920</v>
      </c>
      <c r="BJ13" s="15"/>
      <c r="BK13" s="15"/>
      <c r="BL13" s="206">
        <f t="shared" si="13"/>
        <v>149740</v>
      </c>
      <c r="BM13" s="774"/>
      <c r="BN13" s="207">
        <f t="shared" si="14"/>
        <v>239216</v>
      </c>
      <c r="BO13" s="207">
        <f t="shared" si="14"/>
        <v>72243</v>
      </c>
      <c r="BP13" s="207">
        <f t="shared" si="15"/>
        <v>0</v>
      </c>
      <c r="BQ13" s="207">
        <f t="shared" si="16"/>
        <v>876744</v>
      </c>
      <c r="BR13" s="207">
        <f t="shared" si="17"/>
        <v>9717</v>
      </c>
      <c r="BS13" s="207">
        <f t="shared" si="18"/>
        <v>0</v>
      </c>
      <c r="BT13" s="208">
        <f t="shared" si="19"/>
        <v>1197920</v>
      </c>
    </row>
    <row r="14" spans="1:72" s="2" customFormat="1" ht="32.25" hidden="1" customHeight="1">
      <c r="A14" s="788"/>
      <c r="B14" s="157" t="s">
        <v>342</v>
      </c>
      <c r="C14" s="660"/>
      <c r="D14" s="64"/>
      <c r="E14" s="792"/>
      <c r="F14" s="205" t="e">
        <f t="shared" si="0"/>
        <v>#DIV/0!</v>
      </c>
      <c r="G14" s="205" t="e">
        <f t="shared" si="1"/>
        <v>#DIV/0!</v>
      </c>
      <c r="H14" s="205" t="e">
        <f t="shared" si="2"/>
        <v>#DIV/0!</v>
      </c>
      <c r="I14" s="205" t="e">
        <f t="shared" si="3"/>
        <v>#DIV/0!</v>
      </c>
      <c r="J14" s="205" t="e">
        <f t="shared" si="4"/>
        <v>#DIV/0!</v>
      </c>
      <c r="K14" s="205" t="e">
        <f t="shared" si="5"/>
        <v>#DIV/0!</v>
      </c>
      <c r="L14" s="205" t="e">
        <f>ROUND((AZ14+BA14)/D14,3)</f>
        <v>#DIV/0!</v>
      </c>
      <c r="M14" s="213" t="e">
        <f t="shared" si="6"/>
        <v>#DIV/0!</v>
      </c>
      <c r="N14" s="213" t="e">
        <f t="shared" si="7"/>
        <v>#DIV/0!</v>
      </c>
      <c r="O14" s="37" t="e">
        <f t="shared" si="8"/>
        <v>#DIV/0!</v>
      </c>
      <c r="P14" s="213" t="e">
        <f t="shared" si="9"/>
        <v>#DIV/0!</v>
      </c>
      <c r="Q14" s="205" t="e">
        <f t="shared" si="10"/>
        <v>#DIV/0!</v>
      </c>
      <c r="R14" s="205" t="e">
        <f>ROUND((Z14+AA14+AB14)/D14,3)</f>
        <v>#DIV/0!</v>
      </c>
      <c r="S14" s="205" t="e">
        <f t="shared" si="11"/>
        <v>#DIV/0!</v>
      </c>
      <c r="T14" s="396" t="e">
        <f t="shared" si="12"/>
        <v>#DIV/0!</v>
      </c>
      <c r="U14" s="792"/>
      <c r="V14" s="12"/>
      <c r="W14" s="12"/>
      <c r="X14" s="12"/>
      <c r="Y14" s="12"/>
      <c r="Z14" s="15"/>
      <c r="AA14" s="15"/>
      <c r="AB14" s="15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5"/>
      <c r="AP14" s="12"/>
      <c r="AQ14" s="12"/>
      <c r="AR14" s="771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205">
        <f t="shared" si="20"/>
        <v>0</v>
      </c>
      <c r="BJ14" s="15"/>
      <c r="BK14" s="15"/>
      <c r="BL14" s="206" t="e">
        <f t="shared" si="13"/>
        <v>#DIV/0!</v>
      </c>
      <c r="BM14" s="774"/>
      <c r="BN14" s="207">
        <f t="shared" si="14"/>
        <v>0</v>
      </c>
      <c r="BO14" s="207">
        <f t="shared" si="14"/>
        <v>0</v>
      </c>
      <c r="BP14" s="207">
        <f t="shared" si="15"/>
        <v>0</v>
      </c>
      <c r="BQ14" s="207">
        <f t="shared" si="16"/>
        <v>0</v>
      </c>
      <c r="BR14" s="207">
        <f t="shared" si="17"/>
        <v>0</v>
      </c>
      <c r="BS14" s="207">
        <f t="shared" si="18"/>
        <v>0</v>
      </c>
      <c r="BT14" s="208">
        <f t="shared" si="19"/>
        <v>0</v>
      </c>
    </row>
    <row r="15" spans="1:72" s="2" customFormat="1" ht="32.25" customHeight="1">
      <c r="A15" s="788"/>
      <c r="B15" s="275" t="s">
        <v>343</v>
      </c>
      <c r="C15" s="660"/>
      <c r="D15" s="64">
        <v>2</v>
      </c>
      <c r="E15" s="792"/>
      <c r="F15" s="205">
        <f t="shared" si="0"/>
        <v>95929.5</v>
      </c>
      <c r="G15" s="205">
        <f t="shared" si="1"/>
        <v>0</v>
      </c>
      <c r="H15" s="205">
        <f t="shared" si="2"/>
        <v>95929.5</v>
      </c>
      <c r="I15" s="205">
        <f t="shared" si="3"/>
        <v>0</v>
      </c>
      <c r="J15" s="205">
        <f t="shared" si="4"/>
        <v>0</v>
      </c>
      <c r="K15" s="205">
        <f t="shared" si="5"/>
        <v>0</v>
      </c>
      <c r="L15" s="205">
        <f>ROUND((AZ15+BA15)/D15,3)</f>
        <v>0</v>
      </c>
      <c r="M15" s="213">
        <f t="shared" si="6"/>
        <v>2957.5</v>
      </c>
      <c r="N15" s="213">
        <f t="shared" si="7"/>
        <v>0</v>
      </c>
      <c r="O15" s="37">
        <f t="shared" si="8"/>
        <v>231903</v>
      </c>
      <c r="P15" s="213">
        <f t="shared" si="9"/>
        <v>0</v>
      </c>
      <c r="Q15" s="205">
        <f t="shared" si="10"/>
        <v>330790</v>
      </c>
      <c r="R15" s="205">
        <f>ROUND((Z15+AA15+AB15)/D15,3)</f>
        <v>0</v>
      </c>
      <c r="S15" s="205">
        <f t="shared" si="11"/>
        <v>0</v>
      </c>
      <c r="T15" s="396">
        <f t="shared" si="12"/>
        <v>330790</v>
      </c>
      <c r="U15" s="792"/>
      <c r="V15" s="566">
        <v>147357</v>
      </c>
      <c r="W15" s="566">
        <v>44502</v>
      </c>
      <c r="X15" s="12"/>
      <c r="Y15" s="12"/>
      <c r="Z15" s="15"/>
      <c r="AA15" s="15"/>
      <c r="AB15" s="15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5"/>
      <c r="AP15" s="12"/>
      <c r="AQ15" s="12"/>
      <c r="AR15" s="770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566">
        <v>5915</v>
      </c>
      <c r="BF15" s="15"/>
      <c r="BG15" s="566">
        <v>463806</v>
      </c>
      <c r="BH15" s="15"/>
      <c r="BI15" s="205">
        <f t="shared" si="20"/>
        <v>661580</v>
      </c>
      <c r="BJ15" s="15"/>
      <c r="BK15" s="15"/>
      <c r="BL15" s="206">
        <f t="shared" si="13"/>
        <v>330790</v>
      </c>
      <c r="BM15" s="774"/>
      <c r="BN15" s="207">
        <f t="shared" si="14"/>
        <v>147357</v>
      </c>
      <c r="BO15" s="207">
        <f t="shared" si="14"/>
        <v>44502</v>
      </c>
      <c r="BP15" s="207">
        <f t="shared" si="15"/>
        <v>0</v>
      </c>
      <c r="BQ15" s="207">
        <f t="shared" si="16"/>
        <v>463806</v>
      </c>
      <c r="BR15" s="207">
        <f t="shared" si="17"/>
        <v>5915</v>
      </c>
      <c r="BS15" s="207">
        <f t="shared" si="18"/>
        <v>0</v>
      </c>
      <c r="BT15" s="208">
        <f t="shared" si="19"/>
        <v>661580</v>
      </c>
    </row>
    <row r="16" spans="1:72" s="2" customFormat="1" ht="51" customHeight="1">
      <c r="A16" s="788"/>
      <c r="B16" s="269" t="s">
        <v>377</v>
      </c>
      <c r="C16" s="660"/>
      <c r="D16" s="308">
        <v>11</v>
      </c>
      <c r="E16" s="792"/>
      <c r="F16" s="265">
        <f>ROUND((V16+W16)/D16,3)</f>
        <v>43253</v>
      </c>
      <c r="G16" s="265">
        <f t="shared" si="1"/>
        <v>0</v>
      </c>
      <c r="H16" s="265">
        <f>F16+G16</f>
        <v>43253</v>
      </c>
      <c r="I16" s="265">
        <f t="shared" si="3"/>
        <v>0</v>
      </c>
      <c r="J16" s="265">
        <f t="shared" si="4"/>
        <v>0</v>
      </c>
      <c r="K16" s="265">
        <f t="shared" si="5"/>
        <v>0</v>
      </c>
      <c r="L16" s="265">
        <f>ROUND((AZ16+BA16)/D16,2)</f>
        <v>0</v>
      </c>
      <c r="M16" s="281">
        <f t="shared" si="6"/>
        <v>2163.636</v>
      </c>
      <c r="N16" s="281">
        <f t="shared" si="7"/>
        <v>0</v>
      </c>
      <c r="O16" s="281">
        <f t="shared" si="8"/>
        <v>78163.544999999998</v>
      </c>
      <c r="P16" s="281">
        <f t="shared" si="9"/>
        <v>0</v>
      </c>
      <c r="Q16" s="265">
        <f>P16+O16+M16+L16+K16+J16+I16+H16+N16</f>
        <v>123580.181</v>
      </c>
      <c r="R16" s="265">
        <f>ROUND((Z16+AA16+AB16)/D16,2)</f>
        <v>0</v>
      </c>
      <c r="S16" s="265">
        <f t="shared" si="11"/>
        <v>0</v>
      </c>
      <c r="T16" s="397">
        <f>Q16+R16+S16</f>
        <v>123580.181</v>
      </c>
      <c r="U16" s="792"/>
      <c r="V16" s="566">
        <v>365425</v>
      </c>
      <c r="W16" s="566">
        <v>110358</v>
      </c>
      <c r="X16" s="265"/>
      <c r="Y16" s="283"/>
      <c r="Z16" s="283"/>
      <c r="AA16" s="283"/>
      <c r="AB16" s="283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83"/>
      <c r="AQ16" s="284"/>
      <c r="AR16" s="276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566">
        <v>23800</v>
      </c>
      <c r="BF16" s="265"/>
      <c r="BG16" s="566">
        <v>859799</v>
      </c>
      <c r="BH16" s="265"/>
      <c r="BI16" s="205">
        <f t="shared" si="20"/>
        <v>1359382</v>
      </c>
      <c r="BJ16" s="265"/>
      <c r="BK16" s="15"/>
      <c r="BL16" s="282">
        <f t="shared" si="13"/>
        <v>123580.18</v>
      </c>
      <c r="BM16" s="775"/>
      <c r="BN16" s="285">
        <f t="shared" si="14"/>
        <v>365425</v>
      </c>
      <c r="BO16" s="285">
        <f t="shared" si="14"/>
        <v>110358</v>
      </c>
      <c r="BP16" s="285">
        <f t="shared" si="15"/>
        <v>0</v>
      </c>
      <c r="BQ16" s="285">
        <f t="shared" si="16"/>
        <v>859799</v>
      </c>
      <c r="BR16" s="285">
        <f t="shared" si="17"/>
        <v>23800</v>
      </c>
      <c r="BS16" s="285">
        <f t="shared" si="18"/>
        <v>0</v>
      </c>
      <c r="BT16" s="286">
        <f t="shared" si="19"/>
        <v>1359382</v>
      </c>
    </row>
    <row r="17" spans="1:74" s="2" customFormat="1" ht="17.25" customHeight="1">
      <c r="A17" s="776"/>
      <c r="B17" s="777"/>
      <c r="C17" s="777"/>
      <c r="D17" s="266">
        <f>D11+D12+D13+D14+D15+D16</f>
        <v>34</v>
      </c>
      <c r="E17" s="267"/>
      <c r="F17" s="24">
        <f>ROUND((V17+W17)/D17,3)</f>
        <v>49343.618000000002</v>
      </c>
      <c r="G17" s="24">
        <f t="shared" si="1"/>
        <v>0</v>
      </c>
      <c r="H17" s="24">
        <f t="shared" si="2"/>
        <v>49343.618000000002</v>
      </c>
      <c r="I17" s="24">
        <f t="shared" si="3"/>
        <v>0</v>
      </c>
      <c r="J17" s="24">
        <f t="shared" si="4"/>
        <v>0</v>
      </c>
      <c r="K17" s="24">
        <f t="shared" si="5"/>
        <v>0</v>
      </c>
      <c r="L17" s="24">
        <f>ROUND((AZ17+BA17)/D17,3)</f>
        <v>0</v>
      </c>
      <c r="M17" s="34">
        <f t="shared" si="6"/>
        <v>1834.912</v>
      </c>
      <c r="N17" s="34">
        <f t="shared" si="7"/>
        <v>0</v>
      </c>
      <c r="O17" s="34">
        <f t="shared" si="8"/>
        <v>164356.23499999999</v>
      </c>
      <c r="P17" s="34">
        <f t="shared" si="9"/>
        <v>0</v>
      </c>
      <c r="Q17" s="24">
        <f t="shared" si="10"/>
        <v>215534.76500000001</v>
      </c>
      <c r="R17" s="24">
        <f>ROUND((Z17+AA17+AB17)/D17,3)</f>
        <v>0</v>
      </c>
      <c r="S17" s="24">
        <f t="shared" si="11"/>
        <v>0</v>
      </c>
      <c r="T17" s="396">
        <f t="shared" si="12"/>
        <v>215534.76500000001</v>
      </c>
      <c r="U17" s="267"/>
      <c r="V17" s="73">
        <f t="shared" ref="V17:BK17" si="21">SUM(V11:V16)</f>
        <v>1288543</v>
      </c>
      <c r="W17" s="73">
        <f t="shared" si="21"/>
        <v>389140</v>
      </c>
      <c r="X17" s="73">
        <f t="shared" si="21"/>
        <v>0</v>
      </c>
      <c r="Y17" s="73">
        <f t="shared" si="21"/>
        <v>0</v>
      </c>
      <c r="Z17" s="73">
        <f t="shared" si="21"/>
        <v>0</v>
      </c>
      <c r="AA17" s="73">
        <f t="shared" si="21"/>
        <v>0</v>
      </c>
      <c r="AB17" s="73">
        <f t="shared" si="21"/>
        <v>0</v>
      </c>
      <c r="AC17" s="73">
        <f t="shared" si="21"/>
        <v>0</v>
      </c>
      <c r="AD17" s="73">
        <f t="shared" si="21"/>
        <v>0</v>
      </c>
      <c r="AE17" s="73">
        <f t="shared" si="21"/>
        <v>0</v>
      </c>
      <c r="AF17" s="73">
        <f t="shared" si="21"/>
        <v>0</v>
      </c>
      <c r="AG17" s="73">
        <f t="shared" si="21"/>
        <v>0</v>
      </c>
      <c r="AH17" s="73">
        <f t="shared" si="21"/>
        <v>0</v>
      </c>
      <c r="AI17" s="73">
        <f t="shared" si="21"/>
        <v>0</v>
      </c>
      <c r="AJ17" s="73">
        <f t="shared" si="21"/>
        <v>0</v>
      </c>
      <c r="AK17" s="73">
        <f t="shared" si="21"/>
        <v>0</v>
      </c>
      <c r="AL17" s="73">
        <f t="shared" si="21"/>
        <v>0</v>
      </c>
      <c r="AM17" s="73">
        <f t="shared" si="21"/>
        <v>0</v>
      </c>
      <c r="AN17" s="73">
        <f t="shared" si="21"/>
        <v>0</v>
      </c>
      <c r="AO17" s="73">
        <f t="shared" si="21"/>
        <v>0</v>
      </c>
      <c r="AP17" s="73">
        <f t="shared" si="21"/>
        <v>0</v>
      </c>
      <c r="AQ17" s="73">
        <f t="shared" si="21"/>
        <v>0</v>
      </c>
      <c r="AR17" s="73">
        <f t="shared" si="21"/>
        <v>0</v>
      </c>
      <c r="AS17" s="73">
        <f t="shared" si="21"/>
        <v>0</v>
      </c>
      <c r="AT17" s="73">
        <f t="shared" si="21"/>
        <v>0</v>
      </c>
      <c r="AU17" s="73">
        <f t="shared" si="21"/>
        <v>0</v>
      </c>
      <c r="AV17" s="73">
        <f t="shared" si="21"/>
        <v>0</v>
      </c>
      <c r="AW17" s="73">
        <f t="shared" si="21"/>
        <v>0</v>
      </c>
      <c r="AX17" s="73">
        <f t="shared" si="21"/>
        <v>0</v>
      </c>
      <c r="AY17" s="73">
        <f t="shared" si="21"/>
        <v>0</v>
      </c>
      <c r="AZ17" s="73">
        <f t="shared" si="21"/>
        <v>0</v>
      </c>
      <c r="BA17" s="73">
        <f t="shared" si="21"/>
        <v>0</v>
      </c>
      <c r="BB17" s="73">
        <f t="shared" si="21"/>
        <v>0</v>
      </c>
      <c r="BC17" s="73">
        <f t="shared" si="21"/>
        <v>0</v>
      </c>
      <c r="BD17" s="73">
        <f t="shared" si="21"/>
        <v>0</v>
      </c>
      <c r="BE17" s="73">
        <f t="shared" si="21"/>
        <v>62387</v>
      </c>
      <c r="BF17" s="73">
        <f t="shared" si="21"/>
        <v>0</v>
      </c>
      <c r="BG17" s="73">
        <f t="shared" si="21"/>
        <v>5588112</v>
      </c>
      <c r="BH17" s="73">
        <f t="shared" si="21"/>
        <v>0</v>
      </c>
      <c r="BI17" s="73">
        <f t="shared" si="21"/>
        <v>7328182</v>
      </c>
      <c r="BJ17" s="73">
        <f t="shared" si="21"/>
        <v>0</v>
      </c>
      <c r="BK17" s="73">
        <f t="shared" si="21"/>
        <v>0</v>
      </c>
      <c r="BL17" s="257">
        <f t="shared" si="13"/>
        <v>215534.76</v>
      </c>
      <c r="BM17" s="73">
        <f>SUM(BM11:BM15)</f>
        <v>0</v>
      </c>
      <c r="BN17" s="73">
        <f t="shared" ref="BN17:BT17" si="22">SUM(BN11:BN16)</f>
        <v>1288543</v>
      </c>
      <c r="BO17" s="73">
        <f t="shared" si="22"/>
        <v>389140</v>
      </c>
      <c r="BP17" s="73">
        <f t="shared" si="22"/>
        <v>0</v>
      </c>
      <c r="BQ17" s="73">
        <f t="shared" si="22"/>
        <v>5588112</v>
      </c>
      <c r="BR17" s="73">
        <f t="shared" si="22"/>
        <v>62387</v>
      </c>
      <c r="BS17" s="73">
        <f t="shared" si="22"/>
        <v>0</v>
      </c>
      <c r="BT17" s="73">
        <f t="shared" si="22"/>
        <v>7328182</v>
      </c>
      <c r="BV17" s="310"/>
    </row>
    <row r="18" spans="1:74" s="2" customFormat="1" ht="32.25" customHeight="1">
      <c r="A18" s="778" t="s">
        <v>335</v>
      </c>
      <c r="B18" s="157" t="s">
        <v>344</v>
      </c>
      <c r="C18" s="648" t="s">
        <v>172</v>
      </c>
      <c r="D18" s="64">
        <v>10</v>
      </c>
      <c r="E18" s="667" t="s">
        <v>180</v>
      </c>
      <c r="F18" s="15">
        <f t="shared" si="0"/>
        <v>53711.474000000002</v>
      </c>
      <c r="G18" s="15">
        <f t="shared" si="1"/>
        <v>0</v>
      </c>
      <c r="H18" s="15">
        <f t="shared" si="2"/>
        <v>53711.474000000002</v>
      </c>
      <c r="I18" s="15">
        <f t="shared" si="3"/>
        <v>0</v>
      </c>
      <c r="J18" s="15">
        <f t="shared" si="4"/>
        <v>0</v>
      </c>
      <c r="K18" s="15">
        <f t="shared" si="5"/>
        <v>0</v>
      </c>
      <c r="L18" s="15">
        <f>ROUND((AZ18+BA18)/D18,2)</f>
        <v>0</v>
      </c>
      <c r="M18" s="37">
        <f>ROUND(BE18/D18,2)</f>
        <v>1560</v>
      </c>
      <c r="N18" s="37">
        <f t="shared" si="7"/>
        <v>0</v>
      </c>
      <c r="O18" s="37">
        <f>ROUND(BG18/D18,2)</f>
        <v>150968.53</v>
      </c>
      <c r="P18" s="37">
        <f t="shared" si="9"/>
        <v>0</v>
      </c>
      <c r="Q18" s="15">
        <f t="shared" si="10"/>
        <v>206240.00400000002</v>
      </c>
      <c r="R18" s="15">
        <f>ROUND((Z18+AA18+AB18)/D18,2)</f>
        <v>0</v>
      </c>
      <c r="S18" s="15">
        <f t="shared" si="11"/>
        <v>0</v>
      </c>
      <c r="T18" s="398">
        <f t="shared" si="12"/>
        <v>206240.00400000002</v>
      </c>
      <c r="U18" s="667" t="s">
        <v>180</v>
      </c>
      <c r="V18" s="565">
        <v>412480</v>
      </c>
      <c r="W18" s="565">
        <f>ROUND(V18*0.32,1)-7358.86</f>
        <v>124634.74</v>
      </c>
      <c r="X18" s="15"/>
      <c r="Y18" s="12"/>
      <c r="Z18" s="12"/>
      <c r="AA18" s="12"/>
      <c r="AB18" s="12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2"/>
      <c r="AQ18" s="26"/>
      <c r="AR18" s="667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>
        <v>15600</v>
      </c>
      <c r="BF18" s="15"/>
      <c r="BG18" s="15">
        <f>1502326.4+7358.86</f>
        <v>1509685.26</v>
      </c>
      <c r="BH18" s="15"/>
      <c r="BI18" s="205">
        <f t="shared" si="20"/>
        <v>2062400</v>
      </c>
      <c r="BJ18" s="15"/>
      <c r="BK18" s="15"/>
      <c r="BL18" s="257">
        <f t="shared" si="13"/>
        <v>206240</v>
      </c>
      <c r="BM18" s="667" t="s">
        <v>180</v>
      </c>
      <c r="BN18" s="81">
        <f>V18+X18</f>
        <v>412480</v>
      </c>
      <c r="BO18" s="81">
        <f>W18+Y18</f>
        <v>124634.74</v>
      </c>
      <c r="BP18" s="81">
        <f>Z18+AA18+AB18</f>
        <v>0</v>
      </c>
      <c r="BQ18" s="81">
        <f>BG18</f>
        <v>1509685.26</v>
      </c>
      <c r="BR18" s="81">
        <f>BE18+BF18</f>
        <v>15600</v>
      </c>
      <c r="BS18" s="81">
        <f>AC18+AD18+AE18+AF18+AG18+AH18+AI18+AJ18+AL18+AM18+AN18+AP18+AQ18+AS18+AT18+AU18+AV18+AW18+AX18+AY18+AZ18+BA18+BB18+BC18+BD18+BH18+AO18</f>
        <v>0</v>
      </c>
      <c r="BT18" s="58">
        <f>BN18+BO18+BP18+BQ18+BS18+BR18</f>
        <v>2062400</v>
      </c>
    </row>
    <row r="19" spans="1:74" s="2" customFormat="1" ht="42" customHeight="1">
      <c r="A19" s="779"/>
      <c r="B19" s="157" t="s">
        <v>340</v>
      </c>
      <c r="C19" s="780"/>
      <c r="D19" s="64">
        <v>12</v>
      </c>
      <c r="E19" s="770"/>
      <c r="F19" s="15">
        <f t="shared" si="0"/>
        <v>77437.673999999999</v>
      </c>
      <c r="G19" s="15">
        <f t="shared" si="1"/>
        <v>0</v>
      </c>
      <c r="H19" s="15">
        <f t="shared" si="2"/>
        <v>77437.673999999999</v>
      </c>
      <c r="I19" s="15">
        <f t="shared" si="3"/>
        <v>0</v>
      </c>
      <c r="J19" s="15">
        <f t="shared" si="4"/>
        <v>0</v>
      </c>
      <c r="K19" s="15">
        <f t="shared" si="5"/>
        <v>0</v>
      </c>
      <c r="L19" s="15">
        <f>ROUND((AZ19+BA19)/D19,2)</f>
        <v>0</v>
      </c>
      <c r="M19" s="37">
        <f t="shared" ref="M19:M24" si="23">ROUND(BE19/D19,3)</f>
        <v>2860</v>
      </c>
      <c r="N19" s="37">
        <f t="shared" si="7"/>
        <v>0</v>
      </c>
      <c r="O19" s="37">
        <f>ROUND(BG19/D19,2)</f>
        <v>268622.33</v>
      </c>
      <c r="P19" s="37">
        <f t="shared" si="9"/>
        <v>0</v>
      </c>
      <c r="Q19" s="15">
        <f t="shared" si="10"/>
        <v>348920.00400000002</v>
      </c>
      <c r="R19" s="15">
        <f>ROUND((Z19+AA19+AB19)/D19,2)</f>
        <v>0</v>
      </c>
      <c r="S19" s="15">
        <f t="shared" si="11"/>
        <v>0</v>
      </c>
      <c r="T19" s="398">
        <f t="shared" si="12"/>
        <v>348920.00400000002</v>
      </c>
      <c r="U19" s="770"/>
      <c r="V19" s="565">
        <v>711796.8</v>
      </c>
      <c r="W19" s="565">
        <f>ROUND(V19*0.32,1)-10319.71</f>
        <v>217455.29</v>
      </c>
      <c r="X19" s="15"/>
      <c r="Y19" s="12"/>
      <c r="Z19" s="12"/>
      <c r="AA19" s="12"/>
      <c r="AB19" s="12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2"/>
      <c r="AQ19" s="26"/>
      <c r="AR19" s="770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>
        <v>34320</v>
      </c>
      <c r="BF19" s="15"/>
      <c r="BG19" s="15">
        <f>3213148.2+10319.71</f>
        <v>3223467.91</v>
      </c>
      <c r="BH19" s="15"/>
      <c r="BI19" s="205">
        <f t="shared" si="20"/>
        <v>4187040</v>
      </c>
      <c r="BJ19" s="15"/>
      <c r="BK19" s="15"/>
      <c r="BL19" s="257">
        <f t="shared" si="13"/>
        <v>348920</v>
      </c>
      <c r="BM19" s="770"/>
      <c r="BN19" s="81">
        <f>V19+X19</f>
        <v>711796.8</v>
      </c>
      <c r="BO19" s="81">
        <f>W19+Y19</f>
        <v>217455.29</v>
      </c>
      <c r="BP19" s="81">
        <f>Z19+AA19+AB19</f>
        <v>0</v>
      </c>
      <c r="BQ19" s="81">
        <f>BG19</f>
        <v>3223467.91</v>
      </c>
      <c r="BR19" s="81">
        <f>BE19+BF19</f>
        <v>34320</v>
      </c>
      <c r="BS19" s="81">
        <f>AC19+AD19+AE19+AF19+AG19+AH19+AI19+AJ19+AL19+AM19+AN19+AP19+AQ19+AS19+AT19+AU19+AV19+AW19+AX19+AY19+AZ19+BA19+BB19+BC19+BD19+BH19+AO19</f>
        <v>0</v>
      </c>
      <c r="BT19" s="58">
        <f>BN19+BO19+BP19+BQ19+BS19+BR19</f>
        <v>4187040</v>
      </c>
    </row>
    <row r="20" spans="1:74" s="2" customFormat="1" ht="18.75" customHeight="1">
      <c r="A20" s="270"/>
      <c r="B20" s="270"/>
      <c r="C20" s="29"/>
      <c r="D20" s="199">
        <f>D18+D19</f>
        <v>22</v>
      </c>
      <c r="E20" s="35"/>
      <c r="F20" s="24">
        <f t="shared" si="0"/>
        <v>66653.038</v>
      </c>
      <c r="G20" s="24">
        <f t="shared" si="1"/>
        <v>0</v>
      </c>
      <c r="H20" s="24">
        <f t="shared" si="2"/>
        <v>66653.038</v>
      </c>
      <c r="I20" s="24">
        <f t="shared" si="3"/>
        <v>0</v>
      </c>
      <c r="J20" s="24">
        <f t="shared" si="4"/>
        <v>0</v>
      </c>
      <c r="K20" s="24">
        <f t="shared" si="5"/>
        <v>0</v>
      </c>
      <c r="L20" s="24">
        <f>ROUND((AZ20+BA20)/D20,2)</f>
        <v>0</v>
      </c>
      <c r="M20" s="34">
        <f t="shared" si="23"/>
        <v>2269.0909999999999</v>
      </c>
      <c r="N20" s="34">
        <f t="shared" si="7"/>
        <v>0</v>
      </c>
      <c r="O20" s="34">
        <f t="shared" ref="O20:O26" si="24">ROUND(BG20/D20,3)</f>
        <v>215143.326</v>
      </c>
      <c r="P20" s="34">
        <f t="shared" si="9"/>
        <v>0</v>
      </c>
      <c r="Q20" s="24">
        <f t="shared" si="10"/>
        <v>284065.45499999996</v>
      </c>
      <c r="R20" s="24">
        <f>ROUND((Z20+AA20+AB20)/D20,2)</f>
        <v>0</v>
      </c>
      <c r="S20" s="24">
        <f t="shared" si="11"/>
        <v>0</v>
      </c>
      <c r="T20" s="398">
        <f t="shared" si="12"/>
        <v>284065.45499999996</v>
      </c>
      <c r="U20" s="35"/>
      <c r="V20" s="24">
        <f>V18+V19</f>
        <v>1124276.8</v>
      </c>
      <c r="W20" s="24">
        <f t="shared" ref="W20:BT20" si="25">W18+W19</f>
        <v>342090.03</v>
      </c>
      <c r="X20" s="24">
        <f t="shared" si="25"/>
        <v>0</v>
      </c>
      <c r="Y20" s="24">
        <f t="shared" si="25"/>
        <v>0</v>
      </c>
      <c r="Z20" s="24">
        <f t="shared" si="25"/>
        <v>0</v>
      </c>
      <c r="AA20" s="24">
        <f t="shared" si="25"/>
        <v>0</v>
      </c>
      <c r="AB20" s="24">
        <f t="shared" si="25"/>
        <v>0</v>
      </c>
      <c r="AC20" s="24">
        <f t="shared" si="25"/>
        <v>0</v>
      </c>
      <c r="AD20" s="24">
        <f t="shared" si="25"/>
        <v>0</v>
      </c>
      <c r="AE20" s="24">
        <f t="shared" si="25"/>
        <v>0</v>
      </c>
      <c r="AF20" s="24">
        <f t="shared" si="25"/>
        <v>0</v>
      </c>
      <c r="AG20" s="24">
        <f t="shared" si="25"/>
        <v>0</v>
      </c>
      <c r="AH20" s="24">
        <f t="shared" si="25"/>
        <v>0</v>
      </c>
      <c r="AI20" s="24">
        <f t="shared" si="25"/>
        <v>0</v>
      </c>
      <c r="AJ20" s="24">
        <f t="shared" si="25"/>
        <v>0</v>
      </c>
      <c r="AK20" s="24">
        <f t="shared" si="25"/>
        <v>0</v>
      </c>
      <c r="AL20" s="24">
        <f t="shared" si="25"/>
        <v>0</v>
      </c>
      <c r="AM20" s="24">
        <f t="shared" si="25"/>
        <v>0</v>
      </c>
      <c r="AN20" s="24">
        <f t="shared" si="25"/>
        <v>0</v>
      </c>
      <c r="AO20" s="24">
        <f t="shared" si="25"/>
        <v>0</v>
      </c>
      <c r="AP20" s="24">
        <f t="shared" si="25"/>
        <v>0</v>
      </c>
      <c r="AQ20" s="24">
        <f t="shared" si="25"/>
        <v>0</v>
      </c>
      <c r="AR20" s="24"/>
      <c r="AS20" s="24">
        <f t="shared" si="25"/>
        <v>0</v>
      </c>
      <c r="AT20" s="24">
        <f t="shared" si="25"/>
        <v>0</v>
      </c>
      <c r="AU20" s="24">
        <f t="shared" si="25"/>
        <v>0</v>
      </c>
      <c r="AV20" s="24">
        <f t="shared" si="25"/>
        <v>0</v>
      </c>
      <c r="AW20" s="24">
        <f t="shared" si="25"/>
        <v>0</v>
      </c>
      <c r="AX20" s="24">
        <f t="shared" si="25"/>
        <v>0</v>
      </c>
      <c r="AY20" s="24">
        <f t="shared" si="25"/>
        <v>0</v>
      </c>
      <c r="AZ20" s="24">
        <f t="shared" si="25"/>
        <v>0</v>
      </c>
      <c r="BA20" s="24">
        <f t="shared" si="25"/>
        <v>0</v>
      </c>
      <c r="BB20" s="24">
        <f t="shared" si="25"/>
        <v>0</v>
      </c>
      <c r="BC20" s="24">
        <f t="shared" si="25"/>
        <v>0</v>
      </c>
      <c r="BD20" s="24">
        <f t="shared" si="25"/>
        <v>0</v>
      </c>
      <c r="BE20" s="24">
        <f t="shared" si="25"/>
        <v>49920</v>
      </c>
      <c r="BF20" s="24">
        <f t="shared" si="25"/>
        <v>0</v>
      </c>
      <c r="BG20" s="24">
        <f t="shared" si="25"/>
        <v>4733153.17</v>
      </c>
      <c r="BH20" s="24">
        <f t="shared" si="25"/>
        <v>0</v>
      </c>
      <c r="BI20" s="24">
        <f t="shared" si="25"/>
        <v>6249440</v>
      </c>
      <c r="BJ20" s="24">
        <f t="shared" si="25"/>
        <v>0</v>
      </c>
      <c r="BK20" s="24">
        <f t="shared" si="25"/>
        <v>0</v>
      </c>
      <c r="BL20" s="257">
        <f t="shared" si="13"/>
        <v>284065.45</v>
      </c>
      <c r="BM20" s="24"/>
      <c r="BN20" s="24">
        <f t="shared" si="25"/>
        <v>1124276.8</v>
      </c>
      <c r="BO20" s="24">
        <f t="shared" si="25"/>
        <v>342090.03</v>
      </c>
      <c r="BP20" s="24">
        <f t="shared" si="25"/>
        <v>0</v>
      </c>
      <c r="BQ20" s="24">
        <f t="shared" si="25"/>
        <v>4733153.17</v>
      </c>
      <c r="BR20" s="24">
        <f t="shared" si="25"/>
        <v>49920</v>
      </c>
      <c r="BS20" s="24">
        <f t="shared" si="25"/>
        <v>0</v>
      </c>
      <c r="BT20" s="24">
        <f t="shared" si="25"/>
        <v>6249440</v>
      </c>
    </row>
    <row r="21" spans="1:74" s="2" customFormat="1" ht="32.25" customHeight="1">
      <c r="A21" s="781" t="s">
        <v>335</v>
      </c>
      <c r="B21" s="157" t="s">
        <v>338</v>
      </c>
      <c r="C21" s="648" t="s">
        <v>172</v>
      </c>
      <c r="D21" s="64">
        <v>10</v>
      </c>
      <c r="E21" s="667" t="s">
        <v>93</v>
      </c>
      <c r="F21" s="15">
        <f t="shared" si="0"/>
        <v>82370.5</v>
      </c>
      <c r="G21" s="15">
        <f t="shared" si="1"/>
        <v>0</v>
      </c>
      <c r="H21" s="15">
        <f t="shared" si="2"/>
        <v>82370.5</v>
      </c>
      <c r="I21" s="15">
        <f t="shared" si="3"/>
        <v>0</v>
      </c>
      <c r="J21" s="15">
        <f t="shared" si="4"/>
        <v>0</v>
      </c>
      <c r="K21" s="15">
        <f t="shared" si="5"/>
        <v>0</v>
      </c>
      <c r="L21" s="15">
        <f>ROUND((AZ21+BA21)/D21,3)</f>
        <v>0</v>
      </c>
      <c r="M21" s="37">
        <f t="shared" si="23"/>
        <v>1298</v>
      </c>
      <c r="N21" s="37">
        <f t="shared" si="7"/>
        <v>0</v>
      </c>
      <c r="O21" s="37">
        <f t="shared" si="24"/>
        <v>102261.5</v>
      </c>
      <c r="P21" s="37">
        <f t="shared" si="9"/>
        <v>0</v>
      </c>
      <c r="Q21" s="15">
        <f t="shared" ref="Q21:Q26" si="26">P21+O21+M21+L21+K21+J21+I21+H21+N21</f>
        <v>185930</v>
      </c>
      <c r="R21" s="15">
        <f t="shared" ref="R21:R26" si="27">ROUND((Z21+AA21+AB21)/D21,3)</f>
        <v>0</v>
      </c>
      <c r="S21" s="15">
        <f t="shared" si="11"/>
        <v>0</v>
      </c>
      <c r="T21" s="396">
        <f t="shared" si="12"/>
        <v>185930</v>
      </c>
      <c r="U21" s="667" t="s">
        <v>93</v>
      </c>
      <c r="V21" s="81">
        <v>632645</v>
      </c>
      <c r="W21" s="81">
        <v>191060</v>
      </c>
      <c r="X21" s="12"/>
      <c r="Y21" s="12"/>
      <c r="Z21" s="15"/>
      <c r="AA21" s="15"/>
      <c r="AB21" s="15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5"/>
      <c r="AP21" s="12"/>
      <c r="AQ21" s="26"/>
      <c r="AR21" s="567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568">
        <v>12980</v>
      </c>
      <c r="BF21" s="15"/>
      <c r="BG21" s="81">
        <v>1022615</v>
      </c>
      <c r="BH21" s="15"/>
      <c r="BI21" s="205">
        <f>V21+W21+BE21+BG21</f>
        <v>1859300</v>
      </c>
      <c r="BJ21" s="15"/>
      <c r="BK21" s="15"/>
      <c r="BL21" s="257">
        <f t="shared" si="13"/>
        <v>185930</v>
      </c>
      <c r="BM21" s="671" t="s">
        <v>93</v>
      </c>
      <c r="BN21" s="81">
        <f t="shared" ref="BN21:BO25" si="28">V21+X21</f>
        <v>632645</v>
      </c>
      <c r="BO21" s="81">
        <f t="shared" si="28"/>
        <v>191060</v>
      </c>
      <c r="BP21" s="81">
        <f>Z21+AA21+AB21</f>
        <v>0</v>
      </c>
      <c r="BQ21" s="81">
        <f>BG21</f>
        <v>1022615</v>
      </c>
      <c r="BR21" s="81">
        <f>BE21+BF21</f>
        <v>12980</v>
      </c>
      <c r="BS21" s="81">
        <f>AC21+AD21+AE21+AF21+AG21+AH21+AI21+AJ21+AL21+AM21+AN21+AP21+AQ21+AS21+AT21+AU21+AV21+AW21+AX21+AY21+AZ21+BA21+BB21+BC21+BD21+BH21+AO21</f>
        <v>0</v>
      </c>
      <c r="BT21" s="58">
        <f>BN21+BO21+BP21+BQ21+BS21+BR21</f>
        <v>1859300</v>
      </c>
    </row>
    <row r="22" spans="1:74" s="2" customFormat="1" ht="32.25" customHeight="1">
      <c r="A22" s="782"/>
      <c r="B22" s="273" t="s">
        <v>347</v>
      </c>
      <c r="C22" s="808"/>
      <c r="D22" s="64">
        <v>19</v>
      </c>
      <c r="E22" s="674"/>
      <c r="F22" s="15">
        <f t="shared" si="0"/>
        <v>84195</v>
      </c>
      <c r="G22" s="15">
        <f t="shared" si="1"/>
        <v>0</v>
      </c>
      <c r="H22" s="15">
        <f t="shared" si="2"/>
        <v>84195</v>
      </c>
      <c r="I22" s="15">
        <f t="shared" si="3"/>
        <v>0</v>
      </c>
      <c r="J22" s="15">
        <f t="shared" si="4"/>
        <v>0</v>
      </c>
      <c r="K22" s="15">
        <f t="shared" si="5"/>
        <v>0</v>
      </c>
      <c r="L22" s="15">
        <f>ROUND((AZ22+BA22)/D22,3)</f>
        <v>0</v>
      </c>
      <c r="M22" s="37">
        <f t="shared" si="23"/>
        <v>1416</v>
      </c>
      <c r="N22" s="37">
        <f t="shared" si="7"/>
        <v>0</v>
      </c>
      <c r="O22" s="37">
        <f t="shared" si="24"/>
        <v>199759</v>
      </c>
      <c r="P22" s="37">
        <f t="shared" si="9"/>
        <v>0</v>
      </c>
      <c r="Q22" s="15">
        <f t="shared" si="26"/>
        <v>285370</v>
      </c>
      <c r="R22" s="15">
        <f t="shared" si="27"/>
        <v>0</v>
      </c>
      <c r="S22" s="15">
        <f t="shared" si="11"/>
        <v>0</v>
      </c>
      <c r="T22" s="396">
        <f t="shared" si="12"/>
        <v>285370</v>
      </c>
      <c r="U22" s="674"/>
      <c r="V22" s="81">
        <v>1228652</v>
      </c>
      <c r="W22" s="81">
        <v>371053</v>
      </c>
      <c r="X22" s="12"/>
      <c r="Y22" s="12"/>
      <c r="Z22" s="15"/>
      <c r="AA22" s="15"/>
      <c r="AB22" s="1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5"/>
      <c r="AP22" s="12"/>
      <c r="AQ22" s="12"/>
      <c r="AR22" s="567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568">
        <v>26904</v>
      </c>
      <c r="BF22" s="15"/>
      <c r="BG22" s="81">
        <v>3795421</v>
      </c>
      <c r="BH22" s="15"/>
      <c r="BI22" s="205">
        <f>V22+W22+BE22+BG22</f>
        <v>5422030</v>
      </c>
      <c r="BJ22" s="15"/>
      <c r="BK22" s="15"/>
      <c r="BL22" s="257">
        <f t="shared" si="13"/>
        <v>285370</v>
      </c>
      <c r="BM22" s="660"/>
      <c r="BN22" s="81">
        <f t="shared" si="28"/>
        <v>1228652</v>
      </c>
      <c r="BO22" s="81">
        <f t="shared" si="28"/>
        <v>371053</v>
      </c>
      <c r="BP22" s="81">
        <f>Z22+AA22+AB22</f>
        <v>0</v>
      </c>
      <c r="BQ22" s="81">
        <f>BG22</f>
        <v>3795421</v>
      </c>
      <c r="BR22" s="81">
        <f>BE22+BF22</f>
        <v>26904</v>
      </c>
      <c r="BS22" s="81">
        <f>AC22+AD22+AE22+AF22+AG22+AH22+AI22+AJ22+AL22+AM22+AN22+AP22+AQ22+AS22+AT22+AU22+AV22+AW22+AX22+AY22+AZ22+BA22+BB22+BC22+BD22+BH22+AO22</f>
        <v>0</v>
      </c>
      <c r="BT22" s="58">
        <f>BN22+BO22+BP22+BQ22+BS22+BR22</f>
        <v>5422030</v>
      </c>
    </row>
    <row r="23" spans="1:74" s="2" customFormat="1" ht="32.25" customHeight="1">
      <c r="A23" s="782"/>
      <c r="B23" s="157" t="s">
        <v>345</v>
      </c>
      <c r="C23" s="808"/>
      <c r="D23" s="64">
        <v>5</v>
      </c>
      <c r="E23" s="674"/>
      <c r="F23" s="15">
        <f t="shared" si="0"/>
        <v>81178.399999999994</v>
      </c>
      <c r="G23" s="15">
        <f t="shared" si="1"/>
        <v>0</v>
      </c>
      <c r="H23" s="15">
        <f t="shared" si="2"/>
        <v>81178.399999999994</v>
      </c>
      <c r="I23" s="15">
        <f t="shared" si="3"/>
        <v>0</v>
      </c>
      <c r="J23" s="15">
        <f t="shared" si="4"/>
        <v>0</v>
      </c>
      <c r="K23" s="15">
        <f t="shared" si="5"/>
        <v>0</v>
      </c>
      <c r="L23" s="15"/>
      <c r="M23" s="37">
        <f t="shared" si="23"/>
        <v>2006</v>
      </c>
      <c r="N23" s="37">
        <f t="shared" si="7"/>
        <v>0</v>
      </c>
      <c r="O23" s="37">
        <f t="shared" si="24"/>
        <v>154485.6</v>
      </c>
      <c r="P23" s="37">
        <f t="shared" si="9"/>
        <v>0</v>
      </c>
      <c r="Q23" s="15">
        <f t="shared" si="26"/>
        <v>237670</v>
      </c>
      <c r="R23" s="15">
        <f t="shared" si="27"/>
        <v>0</v>
      </c>
      <c r="S23" s="15">
        <f t="shared" si="11"/>
        <v>0</v>
      </c>
      <c r="T23" s="396">
        <f>Q23+R23+S23</f>
        <v>237670</v>
      </c>
      <c r="U23" s="674"/>
      <c r="V23" s="81">
        <v>311747</v>
      </c>
      <c r="W23" s="81">
        <v>94145</v>
      </c>
      <c r="X23" s="12"/>
      <c r="Y23" s="12"/>
      <c r="Z23" s="15"/>
      <c r="AA23" s="15"/>
      <c r="AB23" s="1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5"/>
      <c r="AP23" s="12"/>
      <c r="AQ23" s="12"/>
      <c r="AR23" s="567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568">
        <v>10030</v>
      </c>
      <c r="BF23" s="15"/>
      <c r="BG23" s="81">
        <v>772428</v>
      </c>
      <c r="BH23" s="15"/>
      <c r="BI23" s="205">
        <f>V23+W23+BE23+BG23</f>
        <v>1188350</v>
      </c>
      <c r="BJ23" s="15"/>
      <c r="BK23" s="15"/>
      <c r="BL23" s="257">
        <f t="shared" si="13"/>
        <v>237670</v>
      </c>
      <c r="BM23" s="660"/>
      <c r="BN23" s="81">
        <f t="shared" si="28"/>
        <v>311747</v>
      </c>
      <c r="BO23" s="81">
        <f t="shared" si="28"/>
        <v>94145</v>
      </c>
      <c r="BP23" s="81">
        <f>Z23+AA23+AB23</f>
        <v>0</v>
      </c>
      <c r="BQ23" s="81">
        <f>BG23</f>
        <v>772428</v>
      </c>
      <c r="BR23" s="81">
        <f>BE23+BF23</f>
        <v>10030</v>
      </c>
      <c r="BS23" s="81">
        <f>AC23+AD23+AE23+AF23+AG23+AH23+AI23+AJ23+AL23+AM23+AN23+AP23+AQ23+AS23+AT23+AU23+AV23+AW23+AX23+AY23+AZ23+BA23+BB23+BC23+BD23+BH23+AO23</f>
        <v>0</v>
      </c>
      <c r="BT23" s="58">
        <f>BN23+BO23+BP23+BQ23+BS23+BR23</f>
        <v>1188350</v>
      </c>
    </row>
    <row r="24" spans="1:74" s="2" customFormat="1" ht="32.25" customHeight="1">
      <c r="A24" s="782"/>
      <c r="B24" s="273" t="s">
        <v>348</v>
      </c>
      <c r="C24" s="809"/>
      <c r="D24" s="64">
        <v>2</v>
      </c>
      <c r="E24" s="716"/>
      <c r="F24" s="15">
        <f t="shared" si="0"/>
        <v>83668</v>
      </c>
      <c r="G24" s="15">
        <f t="shared" si="1"/>
        <v>0</v>
      </c>
      <c r="H24" s="15">
        <f t="shared" si="2"/>
        <v>83668</v>
      </c>
      <c r="I24" s="15">
        <f t="shared" si="3"/>
        <v>0</v>
      </c>
      <c r="J24" s="15">
        <f t="shared" si="4"/>
        <v>0</v>
      </c>
      <c r="K24" s="15">
        <f t="shared" si="5"/>
        <v>0</v>
      </c>
      <c r="L24" s="15">
        <f>ROUND((AZ24+BA24)/D24,3)</f>
        <v>0</v>
      </c>
      <c r="M24" s="37">
        <f t="shared" si="23"/>
        <v>1239</v>
      </c>
      <c r="N24" s="37">
        <f t="shared" si="7"/>
        <v>0</v>
      </c>
      <c r="O24" s="37">
        <f t="shared" si="24"/>
        <v>284253</v>
      </c>
      <c r="P24" s="37">
        <f t="shared" si="9"/>
        <v>0</v>
      </c>
      <c r="Q24" s="15">
        <f t="shared" si="26"/>
        <v>369160</v>
      </c>
      <c r="R24" s="15">
        <f t="shared" si="27"/>
        <v>0</v>
      </c>
      <c r="S24" s="15">
        <f t="shared" si="11"/>
        <v>0</v>
      </c>
      <c r="T24" s="396">
        <f t="shared" si="12"/>
        <v>369160</v>
      </c>
      <c r="U24" s="674"/>
      <c r="V24" s="81">
        <v>128523</v>
      </c>
      <c r="W24" s="81">
        <v>38813</v>
      </c>
      <c r="X24" s="12"/>
      <c r="Y24" s="12"/>
      <c r="Z24" s="15"/>
      <c r="AA24" s="15"/>
      <c r="AB24" s="15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5"/>
      <c r="AP24" s="12"/>
      <c r="AQ24" s="12"/>
      <c r="AR24" s="567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568">
        <v>2478</v>
      </c>
      <c r="BF24" s="15"/>
      <c r="BG24" s="81">
        <v>568506</v>
      </c>
      <c r="BH24" s="15"/>
      <c r="BI24" s="205">
        <f>V24+W24+BE24+BG24</f>
        <v>738320</v>
      </c>
      <c r="BJ24" s="15"/>
      <c r="BK24" s="15"/>
      <c r="BL24" s="257">
        <f t="shared" si="13"/>
        <v>369160</v>
      </c>
      <c r="BM24" s="660"/>
      <c r="BN24" s="81">
        <f t="shared" si="28"/>
        <v>128523</v>
      </c>
      <c r="BO24" s="81">
        <f t="shared" si="28"/>
        <v>38813</v>
      </c>
      <c r="BP24" s="81">
        <f>Z24+AA24+AB24</f>
        <v>0</v>
      </c>
      <c r="BQ24" s="81">
        <f>BG24</f>
        <v>568506</v>
      </c>
      <c r="BR24" s="81">
        <f>BE24+BF24</f>
        <v>2478</v>
      </c>
      <c r="BS24" s="81">
        <f>AC24+AD24+AE24+AF24+AG24+AH24+AI24+AJ24+AL24+AM24+AN24+AP24+AQ24+AS24+AT24+AU24+AV24+AW24+AX24+AY24+AZ24+BA24+BB24+BC24+BD24+BH24+AO24</f>
        <v>0</v>
      </c>
      <c r="BT24" s="58">
        <f>BN24+BO24+BP24+BQ24+BS24+BR24</f>
        <v>738320</v>
      </c>
    </row>
    <row r="25" spans="1:74" s="2" customFormat="1" ht="32.25" customHeight="1">
      <c r="A25" s="784"/>
      <c r="B25" s="273" t="s">
        <v>394</v>
      </c>
      <c r="C25" s="564"/>
      <c r="D25" s="64">
        <v>1</v>
      </c>
      <c r="E25" s="94"/>
      <c r="F25" s="15">
        <f>ROUND((V25+W25)/D25,3)</f>
        <v>49530</v>
      </c>
      <c r="G25" s="15">
        <f>ROUND((X25+Y25)/D25,3)</f>
        <v>0</v>
      </c>
      <c r="H25" s="15">
        <f>F25+G25</f>
        <v>49530</v>
      </c>
      <c r="I25" s="15">
        <f>ROUND(AK25/D25,3)</f>
        <v>0</v>
      </c>
      <c r="J25" s="15">
        <f>ROUND((AL25+AM25+AN25+AP25+AQ25+AO25)/D25,3)</f>
        <v>0</v>
      </c>
      <c r="K25" s="15">
        <f>ROUND((AS25+AT25+AU25+AV25+AW25)/D25,3)</f>
        <v>0</v>
      </c>
      <c r="L25" s="15">
        <f>ROUND((AZ25+BA25)/D25,3)</f>
        <v>0</v>
      </c>
      <c r="M25" s="37">
        <f>ROUND(BE25/D25,3)</f>
        <v>826</v>
      </c>
      <c r="N25" s="37">
        <f>BF25/D25</f>
        <v>0</v>
      </c>
      <c r="O25" s="37">
        <f>ROUND(BG25/D25,3)</f>
        <v>57144</v>
      </c>
      <c r="P25" s="37">
        <f>ROUND(BH25/D25,2)</f>
        <v>0</v>
      </c>
      <c r="Q25" s="15">
        <f t="shared" si="26"/>
        <v>107500</v>
      </c>
      <c r="R25" s="15">
        <f>ROUND((Z25+AA25+AB25)/D25,3)</f>
        <v>0</v>
      </c>
      <c r="S25" s="15">
        <f>ROUND((AX25+BD25)/D25,2)</f>
        <v>0</v>
      </c>
      <c r="T25" s="396">
        <f t="shared" si="12"/>
        <v>107500</v>
      </c>
      <c r="U25" s="102"/>
      <c r="V25" s="81">
        <v>38041</v>
      </c>
      <c r="W25" s="81">
        <v>11489</v>
      </c>
      <c r="X25" s="12"/>
      <c r="Y25" s="12"/>
      <c r="Z25" s="15"/>
      <c r="AA25" s="15"/>
      <c r="AB25" s="15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5"/>
      <c r="AP25" s="12"/>
      <c r="AQ25" s="12"/>
      <c r="AR25" s="567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568">
        <v>826</v>
      </c>
      <c r="BF25" s="15"/>
      <c r="BG25" s="81">
        <v>57144</v>
      </c>
      <c r="BH25" s="15"/>
      <c r="BI25" s="205">
        <f>V25+W25+BE25+BG25</f>
        <v>107500</v>
      </c>
      <c r="BJ25" s="15"/>
      <c r="BK25" s="15"/>
      <c r="BL25" s="257">
        <f t="shared" si="13"/>
        <v>107500</v>
      </c>
      <c r="BM25" s="649"/>
      <c r="BN25" s="81">
        <f t="shared" si="28"/>
        <v>38041</v>
      </c>
      <c r="BO25" s="81">
        <f t="shared" si="28"/>
        <v>11489</v>
      </c>
      <c r="BP25" s="81">
        <f>Z25+AA25+AB25</f>
        <v>0</v>
      </c>
      <c r="BQ25" s="81">
        <f>BG25</f>
        <v>57144</v>
      </c>
      <c r="BR25" s="81">
        <f>BE25+BF25</f>
        <v>826</v>
      </c>
      <c r="BS25" s="81">
        <f>AC25+AD25+AE25+AF25+AG25+AH25+AI25+AJ25+AL25+AM25+AN25+AP25+AQ25+AS25+AT25+AU25+AV25+AW25+AX25+AY25+AZ25+BA25+BB25+BC25+BD25+BH25+AO25</f>
        <v>0</v>
      </c>
      <c r="BT25" s="58">
        <f>BN25+BO25+BP25+BQ25+BS25+BR25</f>
        <v>107500</v>
      </c>
    </row>
    <row r="26" spans="1:74" s="2" customFormat="1" ht="21.75" customHeight="1">
      <c r="A26" s="271"/>
      <c r="B26" s="270"/>
      <c r="C26" s="254"/>
      <c r="D26" s="199">
        <f>D21+D22+D23+D24+D25</f>
        <v>37</v>
      </c>
      <c r="E26" s="254"/>
      <c r="F26" s="24">
        <f>ROUND((V26+W26)/D26,3)</f>
        <v>82328.865000000005</v>
      </c>
      <c r="G26" s="24">
        <f>ROUND((X26+Y26)/D26,3)</f>
        <v>0</v>
      </c>
      <c r="H26" s="24">
        <f t="shared" si="2"/>
        <v>82328.865000000005</v>
      </c>
      <c r="I26" s="24">
        <f>ROUND(AK26/D26,3)</f>
        <v>0</v>
      </c>
      <c r="J26" s="24">
        <f>ROUND((AL26+AM26+AN26+AP26+AQ26+AO26)/D26,3)</f>
        <v>0</v>
      </c>
      <c r="K26" s="24">
        <f>ROUND((AS26+AT26+AU26+AV26+AW26)/D26,3)</f>
        <v>0</v>
      </c>
      <c r="L26" s="24">
        <f>ROUND((AZ26+BA26)/D26,3)</f>
        <v>0</v>
      </c>
      <c r="M26" s="34">
        <f>ROUND(BE26/D26,3)</f>
        <v>1438.3240000000001</v>
      </c>
      <c r="N26" s="34">
        <f>BF26/D26</f>
        <v>0</v>
      </c>
      <c r="O26" s="34">
        <f t="shared" si="24"/>
        <v>168003.08100000001</v>
      </c>
      <c r="P26" s="34">
        <f>ROUND(BH26/D26,2)</f>
        <v>0</v>
      </c>
      <c r="Q26" s="24">
        <f t="shared" si="26"/>
        <v>251770.27000000002</v>
      </c>
      <c r="R26" s="24">
        <f t="shared" si="27"/>
        <v>0</v>
      </c>
      <c r="S26" s="24">
        <f>ROUND((AX26+BD26)/D26,2)</f>
        <v>0</v>
      </c>
      <c r="T26" s="396">
        <f>Q26+R26+S26</f>
        <v>251770.27000000002</v>
      </c>
      <c r="U26" s="254"/>
      <c r="V26" s="24">
        <f>SUM(V21:V25)</f>
        <v>2339608</v>
      </c>
      <c r="W26" s="24">
        <f t="shared" ref="W26:BE26" si="29">SUM(W21:W25)</f>
        <v>706560</v>
      </c>
      <c r="X26" s="24">
        <f t="shared" si="29"/>
        <v>0</v>
      </c>
      <c r="Y26" s="24">
        <f t="shared" si="29"/>
        <v>0</v>
      </c>
      <c r="Z26" s="24">
        <f t="shared" si="29"/>
        <v>0</v>
      </c>
      <c r="AA26" s="24">
        <f t="shared" si="29"/>
        <v>0</v>
      </c>
      <c r="AB26" s="24">
        <f t="shared" si="29"/>
        <v>0</v>
      </c>
      <c r="AC26" s="24">
        <f t="shared" si="29"/>
        <v>0</v>
      </c>
      <c r="AD26" s="24">
        <f t="shared" si="29"/>
        <v>0</v>
      </c>
      <c r="AE26" s="24">
        <f t="shared" si="29"/>
        <v>0</v>
      </c>
      <c r="AF26" s="24">
        <f t="shared" si="29"/>
        <v>0</v>
      </c>
      <c r="AG26" s="24">
        <f t="shared" si="29"/>
        <v>0</v>
      </c>
      <c r="AH26" s="24">
        <f t="shared" si="29"/>
        <v>0</v>
      </c>
      <c r="AI26" s="24">
        <f t="shared" si="29"/>
        <v>0</v>
      </c>
      <c r="AJ26" s="24">
        <f t="shared" si="29"/>
        <v>0</v>
      </c>
      <c r="AK26" s="24">
        <f t="shared" si="29"/>
        <v>0</v>
      </c>
      <c r="AL26" s="24">
        <f t="shared" si="29"/>
        <v>0</v>
      </c>
      <c r="AM26" s="24">
        <f t="shared" si="29"/>
        <v>0</v>
      </c>
      <c r="AN26" s="24">
        <f t="shared" si="29"/>
        <v>0</v>
      </c>
      <c r="AO26" s="24">
        <f t="shared" si="29"/>
        <v>0</v>
      </c>
      <c r="AP26" s="24">
        <f t="shared" si="29"/>
        <v>0</v>
      </c>
      <c r="AQ26" s="24">
        <f t="shared" si="29"/>
        <v>0</v>
      </c>
      <c r="AR26" s="24">
        <f t="shared" si="29"/>
        <v>0</v>
      </c>
      <c r="AS26" s="24">
        <f t="shared" si="29"/>
        <v>0</v>
      </c>
      <c r="AT26" s="24">
        <f t="shared" si="29"/>
        <v>0</v>
      </c>
      <c r="AU26" s="24">
        <f t="shared" si="29"/>
        <v>0</v>
      </c>
      <c r="AV26" s="24">
        <f t="shared" si="29"/>
        <v>0</v>
      </c>
      <c r="AW26" s="24">
        <f t="shared" si="29"/>
        <v>0</v>
      </c>
      <c r="AX26" s="24">
        <f t="shared" si="29"/>
        <v>0</v>
      </c>
      <c r="AY26" s="24">
        <f t="shared" si="29"/>
        <v>0</v>
      </c>
      <c r="AZ26" s="24">
        <f t="shared" si="29"/>
        <v>0</v>
      </c>
      <c r="BA26" s="24">
        <f t="shared" si="29"/>
        <v>0</v>
      </c>
      <c r="BB26" s="24">
        <f t="shared" si="29"/>
        <v>0</v>
      </c>
      <c r="BC26" s="24">
        <f t="shared" si="29"/>
        <v>0</v>
      </c>
      <c r="BD26" s="24">
        <f t="shared" si="29"/>
        <v>0</v>
      </c>
      <c r="BE26" s="24">
        <f t="shared" si="29"/>
        <v>53218</v>
      </c>
      <c r="BF26" s="24">
        <f>SUM(BF21:BF24)</f>
        <v>0</v>
      </c>
      <c r="BG26" s="24">
        <f>SUM(BG21:BG25)</f>
        <v>6216114</v>
      </c>
      <c r="BH26" s="31">
        <f>SUM(BH21:BH24)</f>
        <v>0</v>
      </c>
      <c r="BI26" s="31">
        <f>SUM(BI21:BI25)</f>
        <v>9315500</v>
      </c>
      <c r="BJ26" s="31">
        <f>BJ21+BJ22+BJ24</f>
        <v>0</v>
      </c>
      <c r="BK26" s="31">
        <f>BK21+BK22+BK24</f>
        <v>0</v>
      </c>
      <c r="BL26" s="257">
        <f>ROUND(BI26/D26,2)</f>
        <v>251770.27</v>
      </c>
      <c r="BM26" s="31"/>
      <c r="BN26" s="24">
        <f>SUM(BN21:BN25)</f>
        <v>2339608</v>
      </c>
      <c r="BO26" s="24">
        <f t="shared" ref="BO26:BT26" si="30">SUM(BO21:BO25)</f>
        <v>706560</v>
      </c>
      <c r="BP26" s="24">
        <f t="shared" si="30"/>
        <v>0</v>
      </c>
      <c r="BQ26" s="24">
        <f t="shared" si="30"/>
        <v>6216114</v>
      </c>
      <c r="BR26" s="24">
        <f t="shared" si="30"/>
        <v>53218</v>
      </c>
      <c r="BS26" s="24">
        <f t="shared" si="30"/>
        <v>0</v>
      </c>
      <c r="BT26" s="24">
        <f t="shared" si="30"/>
        <v>9315500</v>
      </c>
    </row>
    <row r="27" spans="1:74" s="2" customFormat="1" ht="9.75" customHeight="1">
      <c r="A27" s="3"/>
      <c r="B27" s="3"/>
      <c r="C27" s="3"/>
      <c r="D27" s="7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00"/>
      <c r="U27" s="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79"/>
      <c r="AS27" s="173"/>
      <c r="AT27" s="173"/>
      <c r="AU27" s="173"/>
      <c r="AV27" s="173"/>
      <c r="AW27" s="173"/>
      <c r="AX27" s="173"/>
      <c r="AY27" s="173"/>
      <c r="AZ27" s="173"/>
      <c r="BA27" s="18"/>
      <c r="BB27" s="18"/>
      <c r="BC27" s="18"/>
      <c r="BD27" s="18"/>
      <c r="BE27" s="18"/>
      <c r="BF27" s="18"/>
      <c r="BG27" s="18"/>
      <c r="BH27" s="18"/>
      <c r="BI27" s="18"/>
      <c r="BJ27" s="245"/>
      <c r="BK27" s="245"/>
      <c r="BL27" s="245"/>
      <c r="BM27" s="79"/>
      <c r="BN27" s="71"/>
      <c r="BO27" s="71"/>
      <c r="BP27" s="71"/>
      <c r="BQ27" s="71"/>
      <c r="BR27" s="71"/>
      <c r="BS27" s="71"/>
      <c r="BT27" s="71"/>
    </row>
    <row r="28" spans="1:74" s="2" customFormat="1" ht="24.75" customHeight="1">
      <c r="A28" s="258" t="s">
        <v>42</v>
      </c>
      <c r="B28" s="258"/>
      <c r="C28" s="258"/>
      <c r="D28" s="199">
        <f>D17+D20+D26</f>
        <v>93</v>
      </c>
      <c r="E28" s="259"/>
      <c r="F28" s="24">
        <f>ROUND((V28+W28)/D28,3)</f>
        <v>66561.482000000004</v>
      </c>
      <c r="G28" s="24">
        <f>ROUND((X28+Y28)/D28,3)</f>
        <v>0</v>
      </c>
      <c r="H28" s="24">
        <f>F28+G28</f>
        <v>66561.482000000004</v>
      </c>
      <c r="I28" s="24">
        <f>ROUND(AK28/D28,3)</f>
        <v>0</v>
      </c>
      <c r="J28" s="24">
        <f>ROUND((AL28+AM28+AN28+AP28+AQ28+AO28)/D28,3)</f>
        <v>0</v>
      </c>
      <c r="K28" s="24">
        <f>ROUND((AS28+AT28+AU28+AV28+AW28)/D28,3)</f>
        <v>0</v>
      </c>
      <c r="L28" s="24">
        <f>ROUND((AZ28+BA28)/D28,3)</f>
        <v>0</v>
      </c>
      <c r="M28" s="34">
        <f>ROUND(BE28/D28,3)</f>
        <v>1779.8389999999999</v>
      </c>
      <c r="N28" s="34">
        <f>BF28/D28</f>
        <v>0</v>
      </c>
      <c r="O28" s="34">
        <f>ROUND(BG28/D28,3)</f>
        <v>177821.28099999999</v>
      </c>
      <c r="P28" s="34">
        <f>ROUND(BH28/D28,2)</f>
        <v>0</v>
      </c>
      <c r="Q28" s="24">
        <f>P28+O28+M28+L28+K28+J28+I28+H28+N28</f>
        <v>246162.60200000001</v>
      </c>
      <c r="R28" s="24">
        <f>ROUND((Z28+AA28+AB28)/D28,3)</f>
        <v>0</v>
      </c>
      <c r="S28" s="24">
        <f>ROUND((AX28+BD28)/D28,2)</f>
        <v>0</v>
      </c>
      <c r="T28" s="396">
        <f>Q28+R28+S28</f>
        <v>246162.60200000001</v>
      </c>
      <c r="U28" s="259"/>
      <c r="V28" s="24">
        <f t="shared" ref="V28:BK28" si="31">V17+V20+V26</f>
        <v>4752427.8</v>
      </c>
      <c r="W28" s="24">
        <f t="shared" si="31"/>
        <v>1437790.03</v>
      </c>
      <c r="X28" s="24">
        <f t="shared" si="31"/>
        <v>0</v>
      </c>
      <c r="Y28" s="24">
        <f t="shared" si="31"/>
        <v>0</v>
      </c>
      <c r="Z28" s="24">
        <f t="shared" si="31"/>
        <v>0</v>
      </c>
      <c r="AA28" s="24">
        <f t="shared" si="31"/>
        <v>0</v>
      </c>
      <c r="AB28" s="24">
        <f t="shared" si="31"/>
        <v>0</v>
      </c>
      <c r="AC28" s="24">
        <f t="shared" si="31"/>
        <v>0</v>
      </c>
      <c r="AD28" s="24">
        <f t="shared" si="31"/>
        <v>0</v>
      </c>
      <c r="AE28" s="24">
        <f t="shared" si="31"/>
        <v>0</v>
      </c>
      <c r="AF28" s="24">
        <f t="shared" si="31"/>
        <v>0</v>
      </c>
      <c r="AG28" s="24">
        <f t="shared" si="31"/>
        <v>0</v>
      </c>
      <c r="AH28" s="24">
        <f t="shared" si="31"/>
        <v>0</v>
      </c>
      <c r="AI28" s="24">
        <f t="shared" si="31"/>
        <v>0</v>
      </c>
      <c r="AJ28" s="24">
        <f t="shared" si="31"/>
        <v>0</v>
      </c>
      <c r="AK28" s="24">
        <f t="shared" si="31"/>
        <v>0</v>
      </c>
      <c r="AL28" s="24">
        <f t="shared" si="31"/>
        <v>0</v>
      </c>
      <c r="AM28" s="24">
        <f t="shared" si="31"/>
        <v>0</v>
      </c>
      <c r="AN28" s="24">
        <f t="shared" si="31"/>
        <v>0</v>
      </c>
      <c r="AO28" s="24">
        <f t="shared" si="31"/>
        <v>0</v>
      </c>
      <c r="AP28" s="24">
        <f t="shared" si="31"/>
        <v>0</v>
      </c>
      <c r="AQ28" s="24">
        <f t="shared" si="31"/>
        <v>0</v>
      </c>
      <c r="AR28" s="24">
        <f t="shared" si="31"/>
        <v>0</v>
      </c>
      <c r="AS28" s="24">
        <f t="shared" si="31"/>
        <v>0</v>
      </c>
      <c r="AT28" s="24">
        <f t="shared" si="31"/>
        <v>0</v>
      </c>
      <c r="AU28" s="24">
        <f t="shared" si="31"/>
        <v>0</v>
      </c>
      <c r="AV28" s="24">
        <f t="shared" si="31"/>
        <v>0</v>
      </c>
      <c r="AW28" s="24">
        <f t="shared" si="31"/>
        <v>0</v>
      </c>
      <c r="AX28" s="24">
        <f t="shared" si="31"/>
        <v>0</v>
      </c>
      <c r="AY28" s="24">
        <f t="shared" si="31"/>
        <v>0</v>
      </c>
      <c r="AZ28" s="24">
        <f t="shared" si="31"/>
        <v>0</v>
      </c>
      <c r="BA28" s="24">
        <f t="shared" si="31"/>
        <v>0</v>
      </c>
      <c r="BB28" s="24">
        <f t="shared" si="31"/>
        <v>0</v>
      </c>
      <c r="BC28" s="24">
        <f t="shared" si="31"/>
        <v>0</v>
      </c>
      <c r="BD28" s="24">
        <f t="shared" si="31"/>
        <v>0</v>
      </c>
      <c r="BE28" s="24">
        <f t="shared" si="31"/>
        <v>165525</v>
      </c>
      <c r="BF28" s="24">
        <f t="shared" si="31"/>
        <v>0</v>
      </c>
      <c r="BG28" s="24">
        <f t="shared" si="31"/>
        <v>16537379.17</v>
      </c>
      <c r="BH28" s="31">
        <f t="shared" si="31"/>
        <v>0</v>
      </c>
      <c r="BI28" s="31">
        <f t="shared" si="31"/>
        <v>22893122</v>
      </c>
      <c r="BJ28" s="31">
        <f t="shared" si="31"/>
        <v>0</v>
      </c>
      <c r="BK28" s="31">
        <f t="shared" si="31"/>
        <v>0</v>
      </c>
      <c r="BL28" s="257">
        <f>ROUND(BI28/D28,2)</f>
        <v>246162.6</v>
      </c>
      <c r="BM28" s="31"/>
      <c r="BN28" s="24">
        <f t="shared" ref="BN28:BT28" si="32">BN17+BN20+BN26</f>
        <v>4752427.8</v>
      </c>
      <c r="BO28" s="24">
        <f t="shared" si="32"/>
        <v>1437790.03</v>
      </c>
      <c r="BP28" s="24">
        <f t="shared" si="32"/>
        <v>0</v>
      </c>
      <c r="BQ28" s="24">
        <f t="shared" si="32"/>
        <v>16537379.17</v>
      </c>
      <c r="BR28" s="24">
        <f t="shared" si="32"/>
        <v>165525</v>
      </c>
      <c r="BS28" s="24">
        <f t="shared" si="32"/>
        <v>0</v>
      </c>
      <c r="BT28" s="24">
        <f t="shared" si="32"/>
        <v>22893122</v>
      </c>
    </row>
    <row r="29" spans="1:74" ht="24.75" customHeight="1"/>
    <row r="30" spans="1:74" ht="30.75" customHeight="1">
      <c r="A30" s="778" t="s">
        <v>335</v>
      </c>
      <c r="B30" s="786" t="s">
        <v>421</v>
      </c>
      <c r="C30" s="787"/>
      <c r="D30" s="787"/>
      <c r="E30" s="787"/>
      <c r="F30" s="787"/>
      <c r="G30" s="787"/>
      <c r="H30" s="787"/>
      <c r="I30" s="787"/>
      <c r="J30" s="787"/>
      <c r="K30" s="787"/>
      <c r="L30" s="787"/>
      <c r="M30" s="787"/>
      <c r="N30" s="787"/>
      <c r="O30" s="787"/>
      <c r="P30" s="787"/>
      <c r="Q30" s="787"/>
      <c r="R30" s="787"/>
      <c r="S30" s="787"/>
      <c r="T30" s="787"/>
      <c r="U30" s="356"/>
      <c r="V30" s="322"/>
      <c r="W30" s="322"/>
      <c r="X30" s="322"/>
      <c r="Y30" s="322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574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323"/>
      <c r="BG30" s="323"/>
      <c r="BH30" s="323"/>
      <c r="BI30" s="323"/>
      <c r="BJ30" s="575"/>
      <c r="BK30" s="575"/>
      <c r="BL30" s="575"/>
      <c r="BM30" s="574"/>
      <c r="BN30" s="358"/>
      <c r="BO30" s="358"/>
      <c r="BP30" s="358"/>
      <c r="BQ30" s="358"/>
      <c r="BR30" s="358"/>
      <c r="BS30" s="358"/>
      <c r="BT30" s="358"/>
    </row>
    <row r="31" spans="1:74" hidden="1">
      <c r="A31" s="788"/>
      <c r="B31" s="346" t="s">
        <v>340</v>
      </c>
      <c r="C31" s="789" t="s">
        <v>172</v>
      </c>
      <c r="D31" s="288"/>
      <c r="E31" s="790" t="s">
        <v>339</v>
      </c>
      <c r="F31" s="347" t="e">
        <f t="shared" ref="F31:F37" si="33">ROUND((V31+W31)/D31,3)</f>
        <v>#DIV/0!</v>
      </c>
      <c r="G31" s="347" t="e">
        <f t="shared" ref="G31:G44" si="34">ROUND((X31+Y31)/D31,3)</f>
        <v>#DIV/0!</v>
      </c>
      <c r="H31" s="347" t="e">
        <f t="shared" ref="H31:H36" si="35">F31+G31</f>
        <v>#DIV/0!</v>
      </c>
      <c r="I31" s="347" t="e">
        <f t="shared" ref="I31:I44" si="36">ROUND(AK31/D31,3)</f>
        <v>#DIV/0!</v>
      </c>
      <c r="J31" s="347" t="e">
        <f t="shared" ref="J31:J44" si="37">ROUND((AL31+AM31+AN31+AP31+AQ31+AO31)/D31,3)</f>
        <v>#DIV/0!</v>
      </c>
      <c r="K31" s="347" t="e">
        <f t="shared" ref="K31:K44" si="38">ROUND((AS31+AT31+AU31+AV31+AW31)/D31,3)</f>
        <v>#DIV/0!</v>
      </c>
      <c r="L31" s="347" t="e">
        <f t="shared" ref="L31:L36" si="39">ROUND((AZ31+BA31)/D31,3)</f>
        <v>#DIV/0!</v>
      </c>
      <c r="M31" s="348" t="e">
        <f t="shared" ref="M31:M37" si="40">ROUND(BE31/D31,3)</f>
        <v>#DIV/0!</v>
      </c>
      <c r="N31" s="348" t="e">
        <f t="shared" ref="N31:N44" si="41">BF31/D31</f>
        <v>#DIV/0!</v>
      </c>
      <c r="O31" s="287" t="e">
        <f t="shared" ref="O31:O37" si="42">ROUND(BG31/D31,3)</f>
        <v>#DIV/0!</v>
      </c>
      <c r="P31" s="348" t="e">
        <f t="shared" ref="P31:P44" si="43">ROUND(BH31/D31,2)</f>
        <v>#DIV/0!</v>
      </c>
      <c r="Q31" s="347" t="e">
        <f t="shared" ref="Q31:Q36" si="44">P31+O31+M31+L31+K31+J31+I31+H31+N31</f>
        <v>#DIV/0!</v>
      </c>
      <c r="R31" s="347" t="e">
        <f t="shared" ref="R31:R40" si="45">ROUND((Z31+AA31+AB31)/D31,3)</f>
        <v>#DIV/0!</v>
      </c>
      <c r="S31" s="347" t="e">
        <f t="shared" ref="S31:S44" si="46">ROUND((AX31+BD31)/D31,2)</f>
        <v>#DIV/0!</v>
      </c>
      <c r="T31" s="349" t="e">
        <f t="shared" ref="T31:T36" si="47">Q31+R31+S31</f>
        <v>#DIV/0!</v>
      </c>
      <c r="U31" s="790" t="s">
        <v>339</v>
      </c>
      <c r="V31" s="350"/>
      <c r="W31" s="350"/>
      <c r="X31" s="350"/>
      <c r="Y31" s="350"/>
      <c r="Z31" s="351"/>
      <c r="AA31" s="351"/>
      <c r="AB31" s="351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1"/>
      <c r="AP31" s="350"/>
      <c r="AQ31" s="352"/>
      <c r="AR31" s="667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205">
        <f t="shared" ref="BI31:BI36" si="48">V31+W31+BE31+BG31</f>
        <v>0</v>
      </c>
      <c r="BJ31" s="351"/>
      <c r="BK31" s="351">
        <f>V31+W31+X31+Y31+Z31+AA31+AB31+AK31+AL31+AM31+AN31+AP31+AS31+AT31+AU31+AX31+AY31+AZ31+BA31+BB31+BC31+BD31+BE31+BF31+BG31+BI31+BJ31+BH31</f>
        <v>0</v>
      </c>
      <c r="BL31" s="353" t="e">
        <f t="shared" ref="BL31:BL47" si="49">ROUND(BI31/D31,2)</f>
        <v>#DIV/0!</v>
      </c>
      <c r="BM31" s="772" t="s">
        <v>182</v>
      </c>
      <c r="BN31" s="354">
        <f t="shared" ref="BN31:BN36" si="50">V31+X31</f>
        <v>0</v>
      </c>
      <c r="BO31" s="354">
        <f t="shared" ref="BO31:BO36" si="51">W31+Y31</f>
        <v>0</v>
      </c>
      <c r="BP31" s="354">
        <f t="shared" ref="BP31:BP36" si="52">Z31+AA31+AB31</f>
        <v>0</v>
      </c>
      <c r="BQ31" s="354">
        <f t="shared" ref="BQ31:BQ36" si="53">BG31</f>
        <v>0</v>
      </c>
      <c r="BR31" s="354">
        <f t="shared" ref="BR31:BR36" si="54">BE31+BF31</f>
        <v>0</v>
      </c>
      <c r="BS31" s="354">
        <f t="shared" ref="BS31:BS36" si="55">AC31+AD31+AE31+AF31+AG31+AH31+AI31+AJ31+AL31+AM31+AN31+AP31+AQ31+AS31+AT31+AU31+AV31+AW31+AX31+AY31+AZ31+BA31+BB31+BC31+BD31+BH31+AO31</f>
        <v>0</v>
      </c>
      <c r="BT31" s="355">
        <f t="shared" ref="BT31:BT36" si="56">BN31+BO31+BP31+BQ31+BS31+BR31</f>
        <v>0</v>
      </c>
    </row>
    <row r="32" spans="1:74" ht="27" customHeight="1">
      <c r="A32" s="788"/>
      <c r="B32" s="274" t="s">
        <v>341</v>
      </c>
      <c r="C32" s="660"/>
      <c r="D32" s="64">
        <v>2</v>
      </c>
      <c r="E32" s="791"/>
      <c r="F32" s="205">
        <f>ROUND((V32+W32)/D32,3)</f>
        <v>53737.1</v>
      </c>
      <c r="G32" s="205">
        <f>ROUND((X32+Y32)/D32,3)</f>
        <v>0</v>
      </c>
      <c r="H32" s="205">
        <f t="shared" si="35"/>
        <v>53737.1</v>
      </c>
      <c r="I32" s="205">
        <f>ROUND(AK32/D32,3)</f>
        <v>0</v>
      </c>
      <c r="J32" s="205">
        <f>ROUND((AL32+AM32+AN32+AP32+AQ32+AO32)/D32,3)</f>
        <v>0</v>
      </c>
      <c r="K32" s="205">
        <f>ROUND((AS32+AT32+AU32+AV32+AW32)/D32,3)</f>
        <v>0</v>
      </c>
      <c r="L32" s="205">
        <f t="shared" si="39"/>
        <v>0</v>
      </c>
      <c r="M32" s="213">
        <f>ROUND(BE32/D32,3)</f>
        <v>1765.75</v>
      </c>
      <c r="N32" s="213">
        <f>BF32/D32</f>
        <v>0</v>
      </c>
      <c r="O32" s="37">
        <f>ROUND(BG32/D32,3)</f>
        <v>260597.15</v>
      </c>
      <c r="P32" s="213">
        <f>ROUND(BH32/D32,2)</f>
        <v>0</v>
      </c>
      <c r="Q32" s="205">
        <f t="shared" si="44"/>
        <v>316100</v>
      </c>
      <c r="R32" s="205">
        <f t="shared" si="45"/>
        <v>0</v>
      </c>
      <c r="S32" s="205">
        <f>ROUND((AX32+BD32)/D32,2)</f>
        <v>0</v>
      </c>
      <c r="T32" s="396">
        <f t="shared" si="47"/>
        <v>316100</v>
      </c>
      <c r="U32" s="791"/>
      <c r="V32" s="566">
        <v>82545.2</v>
      </c>
      <c r="W32" s="566">
        <f>ROUND(V32*0.302,0)</f>
        <v>24929</v>
      </c>
      <c r="X32" s="12"/>
      <c r="Y32" s="12"/>
      <c r="Z32" s="15"/>
      <c r="AA32" s="15"/>
      <c r="AB32" s="15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5"/>
      <c r="AP32" s="12"/>
      <c r="AQ32" s="12"/>
      <c r="AR32" s="771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566">
        <v>3531.5</v>
      </c>
      <c r="BF32" s="15"/>
      <c r="BG32" s="566">
        <v>521194.3</v>
      </c>
      <c r="BH32" s="15"/>
      <c r="BI32" s="205">
        <f t="shared" si="48"/>
        <v>632200</v>
      </c>
      <c r="BJ32" s="15"/>
      <c r="BK32" s="15"/>
      <c r="BL32" s="206">
        <f t="shared" si="49"/>
        <v>316100</v>
      </c>
      <c r="BM32" s="773"/>
      <c r="BN32" s="207">
        <f t="shared" si="50"/>
        <v>82545.2</v>
      </c>
      <c r="BO32" s="207">
        <f t="shared" si="51"/>
        <v>24929</v>
      </c>
      <c r="BP32" s="207">
        <f t="shared" si="52"/>
        <v>0</v>
      </c>
      <c r="BQ32" s="207">
        <f t="shared" si="53"/>
        <v>521194.3</v>
      </c>
      <c r="BR32" s="207">
        <f t="shared" si="54"/>
        <v>3531.5</v>
      </c>
      <c r="BS32" s="207">
        <f t="shared" si="55"/>
        <v>0</v>
      </c>
      <c r="BT32" s="208">
        <f t="shared" si="56"/>
        <v>632200</v>
      </c>
    </row>
    <row r="33" spans="1:72" ht="32.25" customHeight="1">
      <c r="A33" s="788"/>
      <c r="B33" s="157" t="s">
        <v>346</v>
      </c>
      <c r="C33" s="660"/>
      <c r="D33" s="64">
        <v>2</v>
      </c>
      <c r="E33" s="792"/>
      <c r="F33" s="205">
        <f>ROUND((V33+W33)/D33,3)</f>
        <v>38932.5</v>
      </c>
      <c r="G33" s="205">
        <f>ROUND((X33+Y33)/D33,3)</f>
        <v>0</v>
      </c>
      <c r="H33" s="205">
        <f t="shared" si="35"/>
        <v>38932.5</v>
      </c>
      <c r="I33" s="205">
        <f>ROUND(AK33/D33,3)</f>
        <v>0</v>
      </c>
      <c r="J33" s="205">
        <f>ROUND((AL33+AM33+AN33+AP33+AQ33+AO33)/D33,3)</f>
        <v>0</v>
      </c>
      <c r="K33" s="205">
        <f>ROUND((AS33+AT33+AU33+AV33+AW33)/D33,3)</f>
        <v>0</v>
      </c>
      <c r="L33" s="205">
        <f t="shared" si="39"/>
        <v>0</v>
      </c>
      <c r="M33" s="213">
        <f>ROUND(BE33/D33,3)</f>
        <v>1214.6500000000001</v>
      </c>
      <c r="N33" s="213">
        <f>BF33/D33</f>
        <v>0</v>
      </c>
      <c r="O33" s="37">
        <f>ROUND(BG33/D33,3)</f>
        <v>109592.85</v>
      </c>
      <c r="P33" s="213">
        <f>ROUND(BH33/D33,2)</f>
        <v>0</v>
      </c>
      <c r="Q33" s="205">
        <f t="shared" si="44"/>
        <v>149740</v>
      </c>
      <c r="R33" s="205">
        <f t="shared" si="45"/>
        <v>0</v>
      </c>
      <c r="S33" s="205">
        <f>ROUND((AX33+BD33)/D33,2)</f>
        <v>0</v>
      </c>
      <c r="T33" s="396">
        <f t="shared" si="47"/>
        <v>149740</v>
      </c>
      <c r="U33" s="792"/>
      <c r="V33" s="566">
        <v>59804</v>
      </c>
      <c r="W33" s="566">
        <f>ROUND(V33*0.302,0)</f>
        <v>18061</v>
      </c>
      <c r="X33" s="12"/>
      <c r="Y33" s="12"/>
      <c r="Z33" s="15"/>
      <c r="AA33" s="15"/>
      <c r="AB33" s="15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5"/>
      <c r="AP33" s="12"/>
      <c r="AQ33" s="12"/>
      <c r="AR33" s="771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566">
        <v>2429.3000000000002</v>
      </c>
      <c r="BF33" s="15"/>
      <c r="BG33" s="566">
        <v>219185.7</v>
      </c>
      <c r="BH33" s="15"/>
      <c r="BI33" s="205">
        <f t="shared" si="48"/>
        <v>299480</v>
      </c>
      <c r="BJ33" s="15"/>
      <c r="BK33" s="15"/>
      <c r="BL33" s="206">
        <f t="shared" si="49"/>
        <v>149740</v>
      </c>
      <c r="BM33" s="774"/>
      <c r="BN33" s="207">
        <f t="shared" si="50"/>
        <v>59804</v>
      </c>
      <c r="BO33" s="207">
        <f t="shared" si="51"/>
        <v>18061</v>
      </c>
      <c r="BP33" s="207">
        <f t="shared" si="52"/>
        <v>0</v>
      </c>
      <c r="BQ33" s="207">
        <f t="shared" si="53"/>
        <v>219185.7</v>
      </c>
      <c r="BR33" s="207">
        <f t="shared" si="54"/>
        <v>2429.3000000000002</v>
      </c>
      <c r="BS33" s="207">
        <f t="shared" si="55"/>
        <v>0</v>
      </c>
      <c r="BT33" s="208">
        <f t="shared" si="56"/>
        <v>299480</v>
      </c>
    </row>
    <row r="34" spans="1:72" hidden="1">
      <c r="A34" s="788"/>
      <c r="B34" s="157" t="s">
        <v>342</v>
      </c>
      <c r="C34" s="660"/>
      <c r="D34" s="64"/>
      <c r="E34" s="792"/>
      <c r="F34" s="205" t="e">
        <f t="shared" si="33"/>
        <v>#DIV/0!</v>
      </c>
      <c r="G34" s="205" t="e">
        <f t="shared" si="34"/>
        <v>#DIV/0!</v>
      </c>
      <c r="H34" s="205" t="e">
        <f t="shared" si="35"/>
        <v>#DIV/0!</v>
      </c>
      <c r="I34" s="205" t="e">
        <f t="shared" si="36"/>
        <v>#DIV/0!</v>
      </c>
      <c r="J34" s="205" t="e">
        <f t="shared" si="37"/>
        <v>#DIV/0!</v>
      </c>
      <c r="K34" s="205" t="e">
        <f t="shared" si="38"/>
        <v>#DIV/0!</v>
      </c>
      <c r="L34" s="205" t="e">
        <f t="shared" si="39"/>
        <v>#DIV/0!</v>
      </c>
      <c r="M34" s="213" t="e">
        <f t="shared" si="40"/>
        <v>#DIV/0!</v>
      </c>
      <c r="N34" s="213" t="e">
        <f t="shared" si="41"/>
        <v>#DIV/0!</v>
      </c>
      <c r="O34" s="37" t="e">
        <f t="shared" si="42"/>
        <v>#DIV/0!</v>
      </c>
      <c r="P34" s="213" t="e">
        <f t="shared" si="43"/>
        <v>#DIV/0!</v>
      </c>
      <c r="Q34" s="205" t="e">
        <f t="shared" si="44"/>
        <v>#DIV/0!</v>
      </c>
      <c r="R34" s="205" t="e">
        <f t="shared" si="45"/>
        <v>#DIV/0!</v>
      </c>
      <c r="S34" s="205" t="e">
        <f t="shared" si="46"/>
        <v>#DIV/0!</v>
      </c>
      <c r="T34" s="396" t="e">
        <f t="shared" si="47"/>
        <v>#DIV/0!</v>
      </c>
      <c r="U34" s="792"/>
      <c r="V34" s="12"/>
      <c r="W34" s="12"/>
      <c r="X34" s="12"/>
      <c r="Y34" s="12"/>
      <c r="Z34" s="15"/>
      <c r="AA34" s="15"/>
      <c r="AB34" s="15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5"/>
      <c r="AP34" s="12"/>
      <c r="AQ34" s="12"/>
      <c r="AR34" s="771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205">
        <f t="shared" si="48"/>
        <v>0</v>
      </c>
      <c r="BJ34" s="15"/>
      <c r="BK34" s="15"/>
      <c r="BL34" s="206" t="e">
        <f t="shared" si="49"/>
        <v>#DIV/0!</v>
      </c>
      <c r="BM34" s="774"/>
      <c r="BN34" s="207">
        <f t="shared" si="50"/>
        <v>0</v>
      </c>
      <c r="BO34" s="207">
        <f t="shared" si="51"/>
        <v>0</v>
      </c>
      <c r="BP34" s="207">
        <f t="shared" si="52"/>
        <v>0</v>
      </c>
      <c r="BQ34" s="207">
        <f t="shared" si="53"/>
        <v>0</v>
      </c>
      <c r="BR34" s="207">
        <f t="shared" si="54"/>
        <v>0</v>
      </c>
      <c r="BS34" s="207">
        <f t="shared" si="55"/>
        <v>0</v>
      </c>
      <c r="BT34" s="208">
        <f t="shared" si="56"/>
        <v>0</v>
      </c>
    </row>
    <row r="35" spans="1:72" ht="54.75" hidden="1" customHeight="1">
      <c r="A35" s="788"/>
      <c r="B35" s="275" t="s">
        <v>343</v>
      </c>
      <c r="C35" s="660"/>
      <c r="D35" s="64"/>
      <c r="E35" s="792"/>
      <c r="F35" s="205" t="e">
        <f t="shared" si="33"/>
        <v>#DIV/0!</v>
      </c>
      <c r="G35" s="205" t="e">
        <f t="shared" si="34"/>
        <v>#DIV/0!</v>
      </c>
      <c r="H35" s="205" t="e">
        <f t="shared" si="35"/>
        <v>#DIV/0!</v>
      </c>
      <c r="I35" s="205" t="e">
        <f t="shared" si="36"/>
        <v>#DIV/0!</v>
      </c>
      <c r="J35" s="205" t="e">
        <f t="shared" si="37"/>
        <v>#DIV/0!</v>
      </c>
      <c r="K35" s="205" t="e">
        <f t="shared" si="38"/>
        <v>#DIV/0!</v>
      </c>
      <c r="L35" s="205" t="e">
        <f t="shared" si="39"/>
        <v>#DIV/0!</v>
      </c>
      <c r="M35" s="213" t="e">
        <f t="shared" si="40"/>
        <v>#DIV/0!</v>
      </c>
      <c r="N35" s="213" t="e">
        <f t="shared" si="41"/>
        <v>#DIV/0!</v>
      </c>
      <c r="O35" s="37" t="e">
        <f t="shared" si="42"/>
        <v>#DIV/0!</v>
      </c>
      <c r="P35" s="213" t="e">
        <f t="shared" si="43"/>
        <v>#DIV/0!</v>
      </c>
      <c r="Q35" s="205" t="e">
        <f t="shared" si="44"/>
        <v>#DIV/0!</v>
      </c>
      <c r="R35" s="205" t="e">
        <f t="shared" si="45"/>
        <v>#DIV/0!</v>
      </c>
      <c r="S35" s="205" t="e">
        <f t="shared" si="46"/>
        <v>#DIV/0!</v>
      </c>
      <c r="T35" s="396" t="e">
        <f t="shared" si="47"/>
        <v>#DIV/0!</v>
      </c>
      <c r="U35" s="792"/>
      <c r="V35" s="566"/>
      <c r="W35" s="566"/>
      <c r="X35" s="12"/>
      <c r="Y35" s="12"/>
      <c r="Z35" s="15"/>
      <c r="AA35" s="15"/>
      <c r="AB35" s="15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5"/>
      <c r="AP35" s="12"/>
      <c r="AQ35" s="12"/>
      <c r="AR35" s="770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566"/>
      <c r="BF35" s="15"/>
      <c r="BG35" s="566"/>
      <c r="BH35" s="15"/>
      <c r="BI35" s="205">
        <f t="shared" si="48"/>
        <v>0</v>
      </c>
      <c r="BJ35" s="15"/>
      <c r="BK35" s="15"/>
      <c r="BL35" s="206" t="e">
        <f t="shared" si="49"/>
        <v>#DIV/0!</v>
      </c>
      <c r="BM35" s="774"/>
      <c r="BN35" s="207">
        <f t="shared" si="50"/>
        <v>0</v>
      </c>
      <c r="BO35" s="207">
        <f t="shared" si="51"/>
        <v>0</v>
      </c>
      <c r="BP35" s="207">
        <f t="shared" si="52"/>
        <v>0</v>
      </c>
      <c r="BQ35" s="207">
        <f t="shared" si="53"/>
        <v>0</v>
      </c>
      <c r="BR35" s="207">
        <f t="shared" si="54"/>
        <v>0</v>
      </c>
      <c r="BS35" s="207">
        <f t="shared" si="55"/>
        <v>0</v>
      </c>
      <c r="BT35" s="208">
        <f t="shared" si="56"/>
        <v>0</v>
      </c>
    </row>
    <row r="36" spans="1:72" ht="87.75" customHeight="1">
      <c r="A36" s="788"/>
      <c r="B36" s="269" t="s">
        <v>377</v>
      </c>
      <c r="C36" s="660"/>
      <c r="D36" s="308">
        <v>6</v>
      </c>
      <c r="E36" s="792"/>
      <c r="F36" s="205">
        <f>ROUND((V36+W36)/D36,3)</f>
        <v>43253.167000000001</v>
      </c>
      <c r="G36" s="205">
        <f>ROUND((X36+Y36)/D36,3)</f>
        <v>0</v>
      </c>
      <c r="H36" s="205">
        <f t="shared" si="35"/>
        <v>43253.167000000001</v>
      </c>
      <c r="I36" s="205">
        <f>ROUND(AK36/D36,3)</f>
        <v>0</v>
      </c>
      <c r="J36" s="205">
        <f>ROUND((AL36+AM36+AN36+AP36+AQ36+AO36)/D36,3)</f>
        <v>0</v>
      </c>
      <c r="K36" s="205">
        <f>ROUND((AS36+AT36+AU36+AV36+AW36)/D36,3)</f>
        <v>0</v>
      </c>
      <c r="L36" s="205">
        <f t="shared" si="39"/>
        <v>0</v>
      </c>
      <c r="M36" s="213">
        <f>ROUND(BE36/D36,3)</f>
        <v>2163.6669999999999</v>
      </c>
      <c r="N36" s="213">
        <f>BF36/D36</f>
        <v>0</v>
      </c>
      <c r="O36" s="37">
        <f>ROUND(BG36/D36,3)</f>
        <v>78163.167000000001</v>
      </c>
      <c r="P36" s="213">
        <f>ROUND(BH36/D36,2)</f>
        <v>0</v>
      </c>
      <c r="Q36" s="205">
        <f t="shared" si="44"/>
        <v>123580.001</v>
      </c>
      <c r="R36" s="205">
        <f t="shared" si="45"/>
        <v>0</v>
      </c>
      <c r="S36" s="205">
        <f>ROUND((AX36+BD36)/D36,2)</f>
        <v>0</v>
      </c>
      <c r="T36" s="396">
        <f t="shared" si="47"/>
        <v>123580.001</v>
      </c>
      <c r="U36" s="792"/>
      <c r="V36" s="566">
        <v>199323</v>
      </c>
      <c r="W36" s="566">
        <f>ROUND(V36*0.302,0)</f>
        <v>60196</v>
      </c>
      <c r="X36" s="265"/>
      <c r="Y36" s="283"/>
      <c r="Z36" s="283"/>
      <c r="AA36" s="283"/>
      <c r="AB36" s="283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83"/>
      <c r="AQ36" s="284"/>
      <c r="AR36" s="276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566">
        <v>12982</v>
      </c>
      <c r="BF36" s="265"/>
      <c r="BG36" s="566">
        <v>468979</v>
      </c>
      <c r="BH36" s="265"/>
      <c r="BI36" s="205">
        <f t="shared" si="48"/>
        <v>741480</v>
      </c>
      <c r="BJ36" s="265"/>
      <c r="BK36" s="15"/>
      <c r="BL36" s="282">
        <f t="shared" si="49"/>
        <v>123580</v>
      </c>
      <c r="BM36" s="775"/>
      <c r="BN36" s="285">
        <f t="shared" si="50"/>
        <v>199323</v>
      </c>
      <c r="BO36" s="285">
        <f t="shared" si="51"/>
        <v>60196</v>
      </c>
      <c r="BP36" s="285">
        <f t="shared" si="52"/>
        <v>0</v>
      </c>
      <c r="BQ36" s="285">
        <f t="shared" si="53"/>
        <v>468979</v>
      </c>
      <c r="BR36" s="285">
        <f t="shared" si="54"/>
        <v>12982</v>
      </c>
      <c r="BS36" s="285">
        <f t="shared" si="55"/>
        <v>0</v>
      </c>
      <c r="BT36" s="286">
        <f t="shared" si="56"/>
        <v>741480</v>
      </c>
    </row>
    <row r="37" spans="1:72" ht="30.75" customHeight="1">
      <c r="A37" s="776"/>
      <c r="B37" s="777"/>
      <c r="C37" s="777"/>
      <c r="D37" s="266">
        <f>D31+D32+D33+D34+D35+D36</f>
        <v>10</v>
      </c>
      <c r="E37" s="267"/>
      <c r="F37" s="24">
        <f t="shared" si="33"/>
        <v>44485.82</v>
      </c>
      <c r="G37" s="24">
        <f t="shared" si="34"/>
        <v>0</v>
      </c>
      <c r="H37" s="24">
        <f t="shared" ref="H37:H44" si="57">F37+G37</f>
        <v>44485.82</v>
      </c>
      <c r="I37" s="24">
        <f t="shared" si="36"/>
        <v>0</v>
      </c>
      <c r="J37" s="24">
        <f t="shared" si="37"/>
        <v>0</v>
      </c>
      <c r="K37" s="24">
        <f t="shared" si="38"/>
        <v>0</v>
      </c>
      <c r="L37" s="24">
        <f t="shared" ref="L37:L47" si="58">ROUND((AZ37+BA37)/D37,3)</f>
        <v>0</v>
      </c>
      <c r="M37" s="34">
        <f t="shared" si="40"/>
        <v>1894.28</v>
      </c>
      <c r="N37" s="34">
        <f t="shared" si="41"/>
        <v>0</v>
      </c>
      <c r="O37" s="34">
        <f t="shared" si="42"/>
        <v>120935.9</v>
      </c>
      <c r="P37" s="34">
        <f t="shared" si="43"/>
        <v>0</v>
      </c>
      <c r="Q37" s="24">
        <f t="shared" ref="Q37:Q47" si="59">P37+O37+M37+L37+K37+J37+I37+H37+N37</f>
        <v>167316</v>
      </c>
      <c r="R37" s="24">
        <f t="shared" si="45"/>
        <v>0</v>
      </c>
      <c r="S37" s="24">
        <f t="shared" si="46"/>
        <v>0</v>
      </c>
      <c r="T37" s="396">
        <f t="shared" ref="T37:T42" si="60">Q37+R37+S37</f>
        <v>167316</v>
      </c>
      <c r="U37" s="267"/>
      <c r="V37" s="73">
        <f t="shared" ref="V37:BK37" si="61">SUM(V31:V36)</f>
        <v>341672.2</v>
      </c>
      <c r="W37" s="73">
        <f t="shared" si="61"/>
        <v>103186</v>
      </c>
      <c r="X37" s="73">
        <f t="shared" si="61"/>
        <v>0</v>
      </c>
      <c r="Y37" s="73">
        <f t="shared" si="61"/>
        <v>0</v>
      </c>
      <c r="Z37" s="73">
        <f t="shared" si="61"/>
        <v>0</v>
      </c>
      <c r="AA37" s="73">
        <f t="shared" si="61"/>
        <v>0</v>
      </c>
      <c r="AB37" s="73">
        <f t="shared" si="61"/>
        <v>0</v>
      </c>
      <c r="AC37" s="73">
        <f t="shared" si="61"/>
        <v>0</v>
      </c>
      <c r="AD37" s="73">
        <f t="shared" si="61"/>
        <v>0</v>
      </c>
      <c r="AE37" s="73">
        <f t="shared" si="61"/>
        <v>0</v>
      </c>
      <c r="AF37" s="73">
        <f t="shared" si="61"/>
        <v>0</v>
      </c>
      <c r="AG37" s="73">
        <f t="shared" si="61"/>
        <v>0</v>
      </c>
      <c r="AH37" s="73">
        <f t="shared" si="61"/>
        <v>0</v>
      </c>
      <c r="AI37" s="73">
        <f t="shared" si="61"/>
        <v>0</v>
      </c>
      <c r="AJ37" s="73">
        <f t="shared" si="61"/>
        <v>0</v>
      </c>
      <c r="AK37" s="73">
        <f t="shared" si="61"/>
        <v>0</v>
      </c>
      <c r="AL37" s="73">
        <f t="shared" si="61"/>
        <v>0</v>
      </c>
      <c r="AM37" s="73">
        <f t="shared" si="61"/>
        <v>0</v>
      </c>
      <c r="AN37" s="73">
        <f t="shared" si="61"/>
        <v>0</v>
      </c>
      <c r="AO37" s="73">
        <f t="shared" si="61"/>
        <v>0</v>
      </c>
      <c r="AP37" s="73">
        <f t="shared" si="61"/>
        <v>0</v>
      </c>
      <c r="AQ37" s="73">
        <f t="shared" si="61"/>
        <v>0</v>
      </c>
      <c r="AR37" s="73">
        <f t="shared" si="61"/>
        <v>0</v>
      </c>
      <c r="AS37" s="73">
        <f t="shared" si="61"/>
        <v>0</v>
      </c>
      <c r="AT37" s="73">
        <f t="shared" si="61"/>
        <v>0</v>
      </c>
      <c r="AU37" s="73">
        <f t="shared" si="61"/>
        <v>0</v>
      </c>
      <c r="AV37" s="73">
        <f t="shared" si="61"/>
        <v>0</v>
      </c>
      <c r="AW37" s="73">
        <f t="shared" si="61"/>
        <v>0</v>
      </c>
      <c r="AX37" s="73">
        <f t="shared" si="61"/>
        <v>0</v>
      </c>
      <c r="AY37" s="73">
        <f t="shared" si="61"/>
        <v>0</v>
      </c>
      <c r="AZ37" s="73">
        <f t="shared" si="61"/>
        <v>0</v>
      </c>
      <c r="BA37" s="73">
        <f t="shared" si="61"/>
        <v>0</v>
      </c>
      <c r="BB37" s="73">
        <f t="shared" si="61"/>
        <v>0</v>
      </c>
      <c r="BC37" s="73">
        <f t="shared" si="61"/>
        <v>0</v>
      </c>
      <c r="BD37" s="73">
        <f t="shared" si="61"/>
        <v>0</v>
      </c>
      <c r="BE37" s="73">
        <f t="shared" si="61"/>
        <v>18942.8</v>
      </c>
      <c r="BF37" s="73">
        <f t="shared" si="61"/>
        <v>0</v>
      </c>
      <c r="BG37" s="73">
        <f t="shared" si="61"/>
        <v>1209359</v>
      </c>
      <c r="BH37" s="73">
        <f t="shared" si="61"/>
        <v>0</v>
      </c>
      <c r="BI37" s="73">
        <f t="shared" si="61"/>
        <v>1673160</v>
      </c>
      <c r="BJ37" s="73">
        <f t="shared" si="61"/>
        <v>0</v>
      </c>
      <c r="BK37" s="73">
        <f t="shared" si="61"/>
        <v>0</v>
      </c>
      <c r="BL37" s="257">
        <f t="shared" si="49"/>
        <v>167316</v>
      </c>
      <c r="BM37" s="73">
        <f>SUM(BM31:BM35)</f>
        <v>0</v>
      </c>
      <c r="BN37" s="73">
        <f t="shared" ref="BN37:BT37" si="62">SUM(BN31:BN36)</f>
        <v>341672.2</v>
      </c>
      <c r="BO37" s="73">
        <f t="shared" si="62"/>
        <v>103186</v>
      </c>
      <c r="BP37" s="73">
        <f t="shared" si="62"/>
        <v>0</v>
      </c>
      <c r="BQ37" s="73">
        <f t="shared" si="62"/>
        <v>1209359</v>
      </c>
      <c r="BR37" s="73">
        <f t="shared" si="62"/>
        <v>18942.8</v>
      </c>
      <c r="BS37" s="73">
        <f t="shared" si="62"/>
        <v>0</v>
      </c>
      <c r="BT37" s="73">
        <f t="shared" si="62"/>
        <v>1673160</v>
      </c>
    </row>
    <row r="38" spans="1:72" ht="27.75" customHeight="1">
      <c r="A38" s="778" t="s">
        <v>335</v>
      </c>
      <c r="B38" s="157" t="s">
        <v>344</v>
      </c>
      <c r="C38" s="648" t="s">
        <v>172</v>
      </c>
      <c r="D38" s="64">
        <v>3</v>
      </c>
      <c r="E38" s="667" t="s">
        <v>180</v>
      </c>
      <c r="F38" s="205">
        <f t="shared" ref="F38:F47" si="63">ROUND((V38+W38)/D38,3)</f>
        <v>54471.133000000002</v>
      </c>
      <c r="G38" s="205">
        <f>ROUND((X38+Y38)/D38,3)</f>
        <v>0</v>
      </c>
      <c r="H38" s="205">
        <f t="shared" si="57"/>
        <v>54471.133000000002</v>
      </c>
      <c r="I38" s="205">
        <f>ROUND(AK38/D38,3)</f>
        <v>0</v>
      </c>
      <c r="J38" s="205">
        <f>ROUND((AL38+AM38+AN38+AP38+AQ38+AO38)/D38,3)</f>
        <v>0</v>
      </c>
      <c r="K38" s="205">
        <f>ROUND((AS38+AT38+AU38+AV38+AW38)/D38,3)</f>
        <v>0</v>
      </c>
      <c r="L38" s="205">
        <f t="shared" si="58"/>
        <v>0</v>
      </c>
      <c r="M38" s="213">
        <f t="shared" ref="M38:M47" si="64">ROUND(BE38/D38,3)</f>
        <v>1562.2329999999999</v>
      </c>
      <c r="N38" s="213">
        <f>BF38/D38</f>
        <v>0</v>
      </c>
      <c r="O38" s="37">
        <f>ROUND(BG38/D38,3)</f>
        <v>150206.633</v>
      </c>
      <c r="P38" s="213">
        <f>ROUND(BH38/D38,2)</f>
        <v>0</v>
      </c>
      <c r="Q38" s="205">
        <f>P38+O38+M38+L38+K38+J38+I38+H38+N38</f>
        <v>206239.99900000001</v>
      </c>
      <c r="R38" s="205">
        <f t="shared" si="45"/>
        <v>0</v>
      </c>
      <c r="S38" s="205">
        <f>ROUND((AX38+BD38)/D38,2)</f>
        <v>0</v>
      </c>
      <c r="T38" s="396">
        <f t="shared" si="60"/>
        <v>206239.99900000001</v>
      </c>
      <c r="U38" s="667" t="s">
        <v>180</v>
      </c>
      <c r="V38" s="565">
        <v>125455</v>
      </c>
      <c r="W38" s="565">
        <f>37887+71.4</f>
        <v>37958.400000000001</v>
      </c>
      <c r="X38" s="15"/>
      <c r="Y38" s="12"/>
      <c r="Z38" s="12"/>
      <c r="AA38" s="12"/>
      <c r="AB38" s="12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2"/>
      <c r="AQ38" s="26"/>
      <c r="AR38" s="667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>
        <f>4680+6.7</f>
        <v>4686.7</v>
      </c>
      <c r="BF38" s="15"/>
      <c r="BG38" s="15">
        <f>450698-78.1</f>
        <v>450619.9</v>
      </c>
      <c r="BH38" s="15"/>
      <c r="BI38" s="205">
        <f>V38+W38+BE38+BG38</f>
        <v>618720</v>
      </c>
      <c r="BJ38" s="15"/>
      <c r="BK38" s="15"/>
      <c r="BL38" s="257">
        <f>ROUND(BI38/D38,2)</f>
        <v>206240</v>
      </c>
      <c r="BM38" s="667" t="s">
        <v>180</v>
      </c>
      <c r="BN38" s="81">
        <f>V38+X38</f>
        <v>125455</v>
      </c>
      <c r="BO38" s="81">
        <f>W38+Y38</f>
        <v>37958.400000000001</v>
      </c>
      <c r="BP38" s="81">
        <f>Z38+AA38+AB38</f>
        <v>0</v>
      </c>
      <c r="BQ38" s="81">
        <f>BG38</f>
        <v>450619.9</v>
      </c>
      <c r="BR38" s="81">
        <f>BE38+BF38</f>
        <v>4686.7</v>
      </c>
      <c r="BS38" s="81">
        <f>AC38+AD38+AE38+AF38+AG38+AH38+AI38+AJ38+AL38+AM38+AN38+AP38+AQ38+AS38+AT38+AU38+AV38+AW38+AX38+AY38+AZ38+BA38+BB38+BC38+BD38+BH38+AO38</f>
        <v>0</v>
      </c>
      <c r="BT38" s="58">
        <f>BN38+BO38+BP38+BQ38+BS38+BR38</f>
        <v>618720</v>
      </c>
    </row>
    <row r="39" spans="1:72" ht="44.25" customHeight="1">
      <c r="A39" s="779"/>
      <c r="B39" s="157" t="s">
        <v>340</v>
      </c>
      <c r="C39" s="780"/>
      <c r="D39" s="64">
        <v>2</v>
      </c>
      <c r="E39" s="770"/>
      <c r="F39" s="205">
        <f t="shared" si="63"/>
        <v>78632.904999999999</v>
      </c>
      <c r="G39" s="205">
        <f>ROUND((X39+Y39)/D39,3)</f>
        <v>0</v>
      </c>
      <c r="H39" s="205">
        <f t="shared" si="57"/>
        <v>78632.904999999999</v>
      </c>
      <c r="I39" s="205">
        <f>ROUND(AK39/D39,3)</f>
        <v>0</v>
      </c>
      <c r="J39" s="205">
        <f>ROUND((AL39+AM39+AN39+AP39+AQ39+AO39)/D39,3)</f>
        <v>0</v>
      </c>
      <c r="K39" s="205">
        <f>ROUND((AS39+AT39+AU39+AV39+AW39)/D39,3)</f>
        <v>0</v>
      </c>
      <c r="L39" s="205">
        <f t="shared" si="58"/>
        <v>0</v>
      </c>
      <c r="M39" s="213">
        <f t="shared" si="64"/>
        <v>2860</v>
      </c>
      <c r="N39" s="213">
        <f>BF39/D39</f>
        <v>0</v>
      </c>
      <c r="O39" s="37">
        <f>ROUND(BG39/D39,3)</f>
        <v>267427.09499999997</v>
      </c>
      <c r="P39" s="213">
        <f>ROUND(BH39/D39,2)</f>
        <v>0</v>
      </c>
      <c r="Q39" s="205">
        <f>P39+O39+M39+L39+K39+J39+I39+H39+N39</f>
        <v>348920</v>
      </c>
      <c r="R39" s="205">
        <f t="shared" si="45"/>
        <v>0</v>
      </c>
      <c r="S39" s="205">
        <f>ROUND((AX39+BD39)/D39,2)</f>
        <v>0</v>
      </c>
      <c r="T39" s="396">
        <f t="shared" si="60"/>
        <v>348920</v>
      </c>
      <c r="U39" s="770"/>
      <c r="V39" s="565">
        <v>120273</v>
      </c>
      <c r="W39" s="565">
        <f>36322+670.81</f>
        <v>36992.81</v>
      </c>
      <c r="X39" s="15"/>
      <c r="Y39" s="12"/>
      <c r="Z39" s="12"/>
      <c r="AA39" s="12"/>
      <c r="AB39" s="12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2"/>
      <c r="AQ39" s="26"/>
      <c r="AR39" s="770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>
        <v>5720</v>
      </c>
      <c r="BF39" s="15"/>
      <c r="BG39" s="15">
        <f>535525-670.81</f>
        <v>534854.18999999994</v>
      </c>
      <c r="BH39" s="15"/>
      <c r="BI39" s="205">
        <f>V39+W39+BE39+BG39</f>
        <v>697840</v>
      </c>
      <c r="BJ39" s="15"/>
      <c r="BK39" s="15"/>
      <c r="BL39" s="257">
        <f t="shared" si="49"/>
        <v>348920</v>
      </c>
      <c r="BM39" s="770"/>
      <c r="BN39" s="81">
        <f>V39+X39</f>
        <v>120273</v>
      </c>
      <c r="BO39" s="81">
        <f>W39+Y39</f>
        <v>36992.81</v>
      </c>
      <c r="BP39" s="81">
        <f>Z39+AA39+AB39</f>
        <v>0</v>
      </c>
      <c r="BQ39" s="81">
        <f>BG39</f>
        <v>534854.18999999994</v>
      </c>
      <c r="BR39" s="81">
        <f>BE39+BF39</f>
        <v>5720</v>
      </c>
      <c r="BS39" s="81">
        <f>AC39+AD39+AE39+AF39+AG39+AH39+AI39+AJ39+AL39+AM39+AN39+AP39+AQ39+AS39+AT39+AU39+AV39+AW39+AX39+AY39+AZ39+BA39+BB39+BC39+BD39+BH39+AO39</f>
        <v>0</v>
      </c>
      <c r="BT39" s="58">
        <f>BN39+BO39+BP39+BQ39+BS39+BR39</f>
        <v>697840</v>
      </c>
    </row>
    <row r="40" spans="1:72" ht="27" customHeight="1">
      <c r="A40" s="270"/>
      <c r="B40" s="270"/>
      <c r="C40" s="29"/>
      <c r="D40" s="199">
        <f>D38+D39</f>
        <v>5</v>
      </c>
      <c r="E40" s="35"/>
      <c r="F40" s="586">
        <f t="shared" si="63"/>
        <v>64135.841999999997</v>
      </c>
      <c r="G40" s="586">
        <f>ROUND((X40+Y40)/D40,3)</f>
        <v>0</v>
      </c>
      <c r="H40" s="586">
        <f t="shared" si="57"/>
        <v>64135.841999999997</v>
      </c>
      <c r="I40" s="586">
        <f>ROUND(AK40/D40,3)</f>
        <v>0</v>
      </c>
      <c r="J40" s="586">
        <f>ROUND((AL40+AM40+AN40+AP40+AQ40+AO40)/D40,3)</f>
        <v>0</v>
      </c>
      <c r="K40" s="586">
        <f>ROUND((AS40+AT40+AU40+AV40+AW40)/D40,3)</f>
        <v>0</v>
      </c>
      <c r="L40" s="586">
        <f t="shared" si="58"/>
        <v>0</v>
      </c>
      <c r="M40" s="587">
        <f t="shared" si="64"/>
        <v>2081.34</v>
      </c>
      <c r="N40" s="587">
        <f>BF40/D40</f>
        <v>0</v>
      </c>
      <c r="O40" s="588">
        <f>ROUND(BG40/D40,3)</f>
        <v>197094.818</v>
      </c>
      <c r="P40" s="587">
        <f>ROUND(BH40/D40,2)</f>
        <v>0</v>
      </c>
      <c r="Q40" s="586">
        <f>P40+O40+M40+L40+K40+J40+I40+H40+N40</f>
        <v>263312</v>
      </c>
      <c r="R40" s="586">
        <f t="shared" si="45"/>
        <v>0</v>
      </c>
      <c r="S40" s="586">
        <f>ROUND((AX40+BD40)/D40,2)</f>
        <v>0</v>
      </c>
      <c r="T40" s="396">
        <f t="shared" si="60"/>
        <v>263312</v>
      </c>
      <c r="U40" s="35"/>
      <c r="V40" s="24">
        <f t="shared" ref="V40:AQ40" si="65">V38+V39</f>
        <v>245728</v>
      </c>
      <c r="W40" s="24">
        <f t="shared" si="65"/>
        <v>74951.209999999992</v>
      </c>
      <c r="X40" s="24">
        <f t="shared" si="65"/>
        <v>0</v>
      </c>
      <c r="Y40" s="24">
        <f t="shared" si="65"/>
        <v>0</v>
      </c>
      <c r="Z40" s="24">
        <f t="shared" si="65"/>
        <v>0</v>
      </c>
      <c r="AA40" s="24">
        <f t="shared" si="65"/>
        <v>0</v>
      </c>
      <c r="AB40" s="24">
        <f t="shared" si="65"/>
        <v>0</v>
      </c>
      <c r="AC40" s="24">
        <f t="shared" si="65"/>
        <v>0</v>
      </c>
      <c r="AD40" s="24">
        <f t="shared" si="65"/>
        <v>0</v>
      </c>
      <c r="AE40" s="24">
        <f t="shared" si="65"/>
        <v>0</v>
      </c>
      <c r="AF40" s="24">
        <f t="shared" si="65"/>
        <v>0</v>
      </c>
      <c r="AG40" s="24">
        <f t="shared" si="65"/>
        <v>0</v>
      </c>
      <c r="AH40" s="24">
        <f t="shared" si="65"/>
        <v>0</v>
      </c>
      <c r="AI40" s="24">
        <f t="shared" si="65"/>
        <v>0</v>
      </c>
      <c r="AJ40" s="24">
        <f t="shared" si="65"/>
        <v>0</v>
      </c>
      <c r="AK40" s="24">
        <f t="shared" si="65"/>
        <v>0</v>
      </c>
      <c r="AL40" s="24">
        <f t="shared" si="65"/>
        <v>0</v>
      </c>
      <c r="AM40" s="24">
        <f t="shared" si="65"/>
        <v>0</v>
      </c>
      <c r="AN40" s="24">
        <f t="shared" si="65"/>
        <v>0</v>
      </c>
      <c r="AO40" s="24">
        <f t="shared" si="65"/>
        <v>0</v>
      </c>
      <c r="AP40" s="24">
        <f t="shared" si="65"/>
        <v>0</v>
      </c>
      <c r="AQ40" s="24">
        <f t="shared" si="65"/>
        <v>0</v>
      </c>
      <c r="AR40" s="24"/>
      <c r="AS40" s="24">
        <f t="shared" ref="AS40:BK40" si="66">AS38+AS39</f>
        <v>0</v>
      </c>
      <c r="AT40" s="24">
        <f t="shared" si="66"/>
        <v>0</v>
      </c>
      <c r="AU40" s="24">
        <f t="shared" si="66"/>
        <v>0</v>
      </c>
      <c r="AV40" s="24">
        <f t="shared" si="66"/>
        <v>0</v>
      </c>
      <c r="AW40" s="24">
        <f t="shared" si="66"/>
        <v>0</v>
      </c>
      <c r="AX40" s="24">
        <f t="shared" si="66"/>
        <v>0</v>
      </c>
      <c r="AY40" s="24">
        <f t="shared" si="66"/>
        <v>0</v>
      </c>
      <c r="AZ40" s="24">
        <f t="shared" si="66"/>
        <v>0</v>
      </c>
      <c r="BA40" s="24">
        <f t="shared" si="66"/>
        <v>0</v>
      </c>
      <c r="BB40" s="24">
        <f t="shared" si="66"/>
        <v>0</v>
      </c>
      <c r="BC40" s="24">
        <f t="shared" si="66"/>
        <v>0</v>
      </c>
      <c r="BD40" s="24">
        <f t="shared" si="66"/>
        <v>0</v>
      </c>
      <c r="BE40" s="24">
        <f t="shared" si="66"/>
        <v>10406.700000000001</v>
      </c>
      <c r="BF40" s="24">
        <f t="shared" si="66"/>
        <v>0</v>
      </c>
      <c r="BG40" s="24">
        <f t="shared" si="66"/>
        <v>985474.09</v>
      </c>
      <c r="BH40" s="24">
        <f t="shared" si="66"/>
        <v>0</v>
      </c>
      <c r="BI40" s="24">
        <f t="shared" si="66"/>
        <v>1316560</v>
      </c>
      <c r="BJ40" s="24">
        <f t="shared" si="66"/>
        <v>0</v>
      </c>
      <c r="BK40" s="24">
        <f t="shared" si="66"/>
        <v>0</v>
      </c>
      <c r="BL40" s="257">
        <f t="shared" si="49"/>
        <v>263312</v>
      </c>
      <c r="BM40" s="24"/>
      <c r="BN40" s="24">
        <f t="shared" ref="BN40:BT40" si="67">BN38+BN39</f>
        <v>245728</v>
      </c>
      <c r="BO40" s="24">
        <f t="shared" si="67"/>
        <v>74951.209999999992</v>
      </c>
      <c r="BP40" s="24">
        <f t="shared" si="67"/>
        <v>0</v>
      </c>
      <c r="BQ40" s="24">
        <f t="shared" si="67"/>
        <v>985474.09</v>
      </c>
      <c r="BR40" s="24">
        <f t="shared" si="67"/>
        <v>10406.700000000001</v>
      </c>
      <c r="BS40" s="24">
        <f t="shared" si="67"/>
        <v>0</v>
      </c>
      <c r="BT40" s="24">
        <f t="shared" si="67"/>
        <v>1316560</v>
      </c>
    </row>
    <row r="41" spans="1:72" ht="15.75" hidden="1" customHeight="1">
      <c r="A41" s="781" t="s">
        <v>335</v>
      </c>
      <c r="B41" s="157" t="s">
        <v>338</v>
      </c>
      <c r="C41" s="648" t="s">
        <v>172</v>
      </c>
      <c r="D41" s="64"/>
      <c r="E41" s="785" t="s">
        <v>93</v>
      </c>
      <c r="F41" s="15" t="e">
        <f t="shared" si="63"/>
        <v>#DIV/0!</v>
      </c>
      <c r="G41" s="15" t="e">
        <f t="shared" si="34"/>
        <v>#DIV/0!</v>
      </c>
      <c r="H41" s="15" t="e">
        <f t="shared" si="57"/>
        <v>#DIV/0!</v>
      </c>
      <c r="I41" s="15" t="e">
        <f t="shared" si="36"/>
        <v>#DIV/0!</v>
      </c>
      <c r="J41" s="15" t="e">
        <f t="shared" si="37"/>
        <v>#DIV/0!</v>
      </c>
      <c r="K41" s="15" t="e">
        <f t="shared" si="38"/>
        <v>#DIV/0!</v>
      </c>
      <c r="L41" s="15" t="e">
        <f t="shared" si="58"/>
        <v>#DIV/0!</v>
      </c>
      <c r="M41" s="37" t="e">
        <f t="shared" si="64"/>
        <v>#DIV/0!</v>
      </c>
      <c r="N41" s="37" t="e">
        <f t="shared" si="41"/>
        <v>#DIV/0!</v>
      </c>
      <c r="O41" s="37" t="e">
        <f t="shared" ref="O41:O47" si="68">ROUND(BG41/D41,3)</f>
        <v>#DIV/0!</v>
      </c>
      <c r="P41" s="37" t="e">
        <f t="shared" si="43"/>
        <v>#DIV/0!</v>
      </c>
      <c r="Q41" s="15" t="e">
        <f t="shared" si="59"/>
        <v>#DIV/0!</v>
      </c>
      <c r="R41" s="15" t="e">
        <f t="shared" ref="R41:R47" si="69">ROUND((Z41+AA41+AB41)/D41,3)</f>
        <v>#DIV/0!</v>
      </c>
      <c r="S41" s="15" t="e">
        <f t="shared" si="46"/>
        <v>#DIV/0!</v>
      </c>
      <c r="T41" s="396" t="e">
        <f t="shared" si="60"/>
        <v>#DIV/0!</v>
      </c>
      <c r="U41" s="667" t="s">
        <v>93</v>
      </c>
      <c r="V41" s="81"/>
      <c r="W41" s="81"/>
      <c r="X41" s="12"/>
      <c r="Y41" s="12"/>
      <c r="Z41" s="15"/>
      <c r="AA41" s="15"/>
      <c r="AB41" s="1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5"/>
      <c r="AP41" s="12"/>
      <c r="AQ41" s="26"/>
      <c r="AR41" s="567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568"/>
      <c r="BF41" s="15"/>
      <c r="BG41" s="81"/>
      <c r="BH41" s="15"/>
      <c r="BI41" s="205">
        <f t="shared" ref="BI41:BI46" si="70">V41+W41+BE41+BG41</f>
        <v>0</v>
      </c>
      <c r="BJ41" s="15"/>
      <c r="BK41" s="15"/>
      <c r="BL41" s="257" t="e">
        <f t="shared" si="49"/>
        <v>#DIV/0!</v>
      </c>
      <c r="BM41" s="671" t="s">
        <v>93</v>
      </c>
      <c r="BN41" s="81">
        <f t="shared" ref="BN41:BO45" si="71">V41+X41</f>
        <v>0</v>
      </c>
      <c r="BO41" s="81">
        <f t="shared" si="71"/>
        <v>0</v>
      </c>
      <c r="BP41" s="81">
        <f t="shared" ref="BP41:BP46" si="72">Z41+AA41+AB41</f>
        <v>0</v>
      </c>
      <c r="BQ41" s="81">
        <f t="shared" ref="BQ41:BQ46" si="73">BG41</f>
        <v>0</v>
      </c>
      <c r="BR41" s="81">
        <f t="shared" ref="BR41:BR46" si="74">BE41+BF41</f>
        <v>0</v>
      </c>
      <c r="BS41" s="81">
        <f t="shared" ref="BS41:BS46" si="75">AC41+AD41+AE41+AF41+AG41+AH41+AI41+AJ41+AL41+AM41+AN41+AP41+AQ41+AS41+AT41+AU41+AV41+AW41+AX41+AY41+AZ41+BA41+BB41+BC41+BD41+BH41+AO41</f>
        <v>0</v>
      </c>
      <c r="BT41" s="58">
        <f t="shared" ref="BT41:BT46" si="76">BN41+BO41+BP41+BQ41+BS41+BR41</f>
        <v>0</v>
      </c>
    </row>
    <row r="42" spans="1:72" ht="30" hidden="1" customHeight="1">
      <c r="A42" s="782"/>
      <c r="B42" s="273" t="s">
        <v>347</v>
      </c>
      <c r="C42" s="674"/>
      <c r="D42" s="64"/>
      <c r="E42" s="690"/>
      <c r="F42" s="15" t="e">
        <f t="shared" si="63"/>
        <v>#DIV/0!</v>
      </c>
      <c r="G42" s="15" t="e">
        <f t="shared" si="34"/>
        <v>#DIV/0!</v>
      </c>
      <c r="H42" s="15" t="e">
        <f t="shared" si="57"/>
        <v>#DIV/0!</v>
      </c>
      <c r="I42" s="15" t="e">
        <f t="shared" si="36"/>
        <v>#DIV/0!</v>
      </c>
      <c r="J42" s="15" t="e">
        <f t="shared" si="37"/>
        <v>#DIV/0!</v>
      </c>
      <c r="K42" s="15" t="e">
        <f t="shared" si="38"/>
        <v>#DIV/0!</v>
      </c>
      <c r="L42" s="15" t="e">
        <f t="shared" si="58"/>
        <v>#DIV/0!</v>
      </c>
      <c r="M42" s="37" t="e">
        <f t="shared" si="64"/>
        <v>#DIV/0!</v>
      </c>
      <c r="N42" s="37" t="e">
        <f t="shared" si="41"/>
        <v>#DIV/0!</v>
      </c>
      <c r="O42" s="37" t="e">
        <f t="shared" si="68"/>
        <v>#DIV/0!</v>
      </c>
      <c r="P42" s="37" t="e">
        <f t="shared" si="43"/>
        <v>#DIV/0!</v>
      </c>
      <c r="Q42" s="15" t="e">
        <f t="shared" si="59"/>
        <v>#DIV/0!</v>
      </c>
      <c r="R42" s="15" t="e">
        <f t="shared" si="69"/>
        <v>#DIV/0!</v>
      </c>
      <c r="S42" s="15" t="e">
        <f t="shared" si="46"/>
        <v>#DIV/0!</v>
      </c>
      <c r="T42" s="396" t="e">
        <f t="shared" si="60"/>
        <v>#DIV/0!</v>
      </c>
      <c r="U42" s="674"/>
      <c r="V42" s="285"/>
      <c r="W42" s="285"/>
      <c r="X42" s="283"/>
      <c r="Y42" s="283"/>
      <c r="Z42" s="265"/>
      <c r="AA42" s="265"/>
      <c r="AB42" s="265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65"/>
      <c r="AP42" s="283"/>
      <c r="AQ42" s="283"/>
      <c r="AR42" s="589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590"/>
      <c r="BF42" s="265"/>
      <c r="BG42" s="285"/>
      <c r="BH42" s="265"/>
      <c r="BI42" s="591">
        <f t="shared" si="70"/>
        <v>0</v>
      </c>
      <c r="BJ42" s="15"/>
      <c r="BK42" s="15"/>
      <c r="BL42" s="257" t="e">
        <f t="shared" si="49"/>
        <v>#DIV/0!</v>
      </c>
      <c r="BM42" s="660"/>
      <c r="BN42" s="81">
        <f t="shared" si="71"/>
        <v>0</v>
      </c>
      <c r="BO42" s="81">
        <f t="shared" si="71"/>
        <v>0</v>
      </c>
      <c r="BP42" s="81">
        <f t="shared" si="72"/>
        <v>0</v>
      </c>
      <c r="BQ42" s="81">
        <f t="shared" si="73"/>
        <v>0</v>
      </c>
      <c r="BR42" s="81">
        <f t="shared" si="74"/>
        <v>0</v>
      </c>
      <c r="BS42" s="81">
        <f t="shared" si="75"/>
        <v>0</v>
      </c>
      <c r="BT42" s="58">
        <f t="shared" si="76"/>
        <v>0</v>
      </c>
    </row>
    <row r="43" spans="1:72" ht="39.75" customHeight="1">
      <c r="A43" s="782"/>
      <c r="B43" s="157" t="s">
        <v>345</v>
      </c>
      <c r="C43" s="674"/>
      <c r="D43" s="64">
        <v>4</v>
      </c>
      <c r="E43" s="690"/>
      <c r="F43" s="205">
        <f t="shared" si="63"/>
        <v>45157.25</v>
      </c>
      <c r="G43" s="205">
        <f t="shared" si="34"/>
        <v>0</v>
      </c>
      <c r="H43" s="205">
        <f>F43+G43</f>
        <v>45157.25</v>
      </c>
      <c r="I43" s="205">
        <f t="shared" si="36"/>
        <v>0</v>
      </c>
      <c r="J43" s="205">
        <f t="shared" si="37"/>
        <v>0</v>
      </c>
      <c r="K43" s="205">
        <f t="shared" si="38"/>
        <v>0</v>
      </c>
      <c r="L43" s="205">
        <f t="shared" si="58"/>
        <v>0</v>
      </c>
      <c r="M43" s="213">
        <f t="shared" si="64"/>
        <v>2006</v>
      </c>
      <c r="N43" s="213">
        <f t="shared" si="41"/>
        <v>0</v>
      </c>
      <c r="O43" s="37">
        <f t="shared" si="68"/>
        <v>190506.75</v>
      </c>
      <c r="P43" s="213">
        <f t="shared" si="43"/>
        <v>0</v>
      </c>
      <c r="Q43" s="205">
        <f>P43+O43+M43+L43+K43+J43+I43+H43+N43</f>
        <v>237670</v>
      </c>
      <c r="R43" s="205">
        <f>ROUND((Z43+AA43+AB43)/D43,3)</f>
        <v>0</v>
      </c>
      <c r="S43" s="205">
        <f t="shared" si="46"/>
        <v>0</v>
      </c>
      <c r="T43" s="396">
        <f>Q43+R43+S43</f>
        <v>237670</v>
      </c>
      <c r="U43" s="674"/>
      <c r="V43" s="65">
        <v>138732</v>
      </c>
      <c r="W43" s="65">
        <v>41897</v>
      </c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142"/>
      <c r="AS43" s="65"/>
      <c r="AT43" s="65"/>
      <c r="AU43" s="65"/>
      <c r="AV43" s="65"/>
      <c r="AW43" s="65"/>
      <c r="AX43" s="65"/>
      <c r="AY43" s="65"/>
      <c r="AZ43" s="65"/>
      <c r="BA43" s="174"/>
      <c r="BB43" s="174"/>
      <c r="BC43" s="174"/>
      <c r="BD43" s="174"/>
      <c r="BE43" s="174">
        <v>8024</v>
      </c>
      <c r="BF43" s="174"/>
      <c r="BG43" s="174">
        <v>762027</v>
      </c>
      <c r="BH43" s="174"/>
      <c r="BI43" s="58">
        <f t="shared" si="70"/>
        <v>950680</v>
      </c>
      <c r="BJ43" s="15"/>
      <c r="BK43" s="15"/>
      <c r="BL43" s="257">
        <f t="shared" si="49"/>
        <v>237670</v>
      </c>
      <c r="BM43" s="660"/>
      <c r="BN43" s="81">
        <f t="shared" si="71"/>
        <v>138732</v>
      </c>
      <c r="BO43" s="81">
        <f t="shared" si="71"/>
        <v>41897</v>
      </c>
      <c r="BP43" s="81">
        <f t="shared" si="72"/>
        <v>0</v>
      </c>
      <c r="BQ43" s="81">
        <f t="shared" si="73"/>
        <v>762027</v>
      </c>
      <c r="BR43" s="81">
        <f t="shared" si="74"/>
        <v>8024</v>
      </c>
      <c r="BS43" s="81">
        <f t="shared" si="75"/>
        <v>0</v>
      </c>
      <c r="BT43" s="58">
        <f t="shared" si="76"/>
        <v>950680</v>
      </c>
    </row>
    <row r="44" spans="1:72" ht="15.75" hidden="1" customHeight="1">
      <c r="A44" s="782"/>
      <c r="B44" s="273" t="s">
        <v>348</v>
      </c>
      <c r="C44" s="674"/>
      <c r="D44" s="64"/>
      <c r="E44" s="690"/>
      <c r="F44" s="15" t="e">
        <f t="shared" si="63"/>
        <v>#DIV/0!</v>
      </c>
      <c r="G44" s="15" t="e">
        <f t="shared" si="34"/>
        <v>#DIV/0!</v>
      </c>
      <c r="H44" s="15" t="e">
        <f t="shared" si="57"/>
        <v>#DIV/0!</v>
      </c>
      <c r="I44" s="15" t="e">
        <f t="shared" si="36"/>
        <v>#DIV/0!</v>
      </c>
      <c r="J44" s="15" t="e">
        <f t="shared" si="37"/>
        <v>#DIV/0!</v>
      </c>
      <c r="K44" s="15" t="e">
        <f t="shared" si="38"/>
        <v>#DIV/0!</v>
      </c>
      <c r="L44" s="15" t="e">
        <f t="shared" si="58"/>
        <v>#DIV/0!</v>
      </c>
      <c r="M44" s="37" t="e">
        <f t="shared" si="64"/>
        <v>#DIV/0!</v>
      </c>
      <c r="N44" s="37" t="e">
        <f t="shared" si="41"/>
        <v>#DIV/0!</v>
      </c>
      <c r="O44" s="37" t="e">
        <f t="shared" si="68"/>
        <v>#DIV/0!</v>
      </c>
      <c r="P44" s="37" t="e">
        <f t="shared" si="43"/>
        <v>#DIV/0!</v>
      </c>
      <c r="Q44" s="15" t="e">
        <f t="shared" si="59"/>
        <v>#DIV/0!</v>
      </c>
      <c r="R44" s="15" t="e">
        <f t="shared" si="69"/>
        <v>#DIV/0!</v>
      </c>
      <c r="S44" s="15" t="e">
        <f t="shared" si="46"/>
        <v>#DIV/0!</v>
      </c>
      <c r="T44" s="396" t="e">
        <f>Q44+R44+S44</f>
        <v>#DIV/0!</v>
      </c>
      <c r="U44" s="674"/>
      <c r="V44" s="81"/>
      <c r="W44" s="81"/>
      <c r="X44" s="43"/>
      <c r="Y44" s="43"/>
      <c r="Z44" s="58"/>
      <c r="AA44" s="58"/>
      <c r="AB44" s="58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58"/>
      <c r="AP44" s="43"/>
      <c r="AQ44" s="43"/>
      <c r="AR44" s="142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437"/>
      <c r="BF44" s="58"/>
      <c r="BG44" s="81"/>
      <c r="BH44" s="58"/>
      <c r="BI44" s="58">
        <f t="shared" si="70"/>
        <v>0</v>
      </c>
      <c r="BJ44" s="15"/>
      <c r="BK44" s="15"/>
      <c r="BL44" s="257" t="e">
        <f t="shared" si="49"/>
        <v>#DIV/0!</v>
      </c>
      <c r="BM44" s="660"/>
      <c r="BN44" s="81">
        <f t="shared" si="71"/>
        <v>0</v>
      </c>
      <c r="BO44" s="81">
        <f t="shared" si="71"/>
        <v>0</v>
      </c>
      <c r="BP44" s="81">
        <f t="shared" si="72"/>
        <v>0</v>
      </c>
      <c r="BQ44" s="81">
        <f t="shared" si="73"/>
        <v>0</v>
      </c>
      <c r="BR44" s="81">
        <f t="shared" si="74"/>
        <v>0</v>
      </c>
      <c r="BS44" s="81">
        <f t="shared" si="75"/>
        <v>0</v>
      </c>
      <c r="BT44" s="58">
        <f t="shared" si="76"/>
        <v>0</v>
      </c>
    </row>
    <row r="45" spans="1:72" ht="43.5" customHeight="1">
      <c r="A45" s="783"/>
      <c r="B45" s="273" t="s">
        <v>395</v>
      </c>
      <c r="C45" s="716"/>
      <c r="D45" s="64">
        <v>26</v>
      </c>
      <c r="E45" s="690"/>
      <c r="F45" s="15">
        <f t="shared" si="63"/>
        <v>49530</v>
      </c>
      <c r="G45" s="15">
        <f>ROUND((X45+Y45)/D45,3)</f>
        <v>0</v>
      </c>
      <c r="H45" s="15">
        <f>F45+G45</f>
        <v>49530</v>
      </c>
      <c r="I45" s="15">
        <f>ROUND(AK45/D45,3)</f>
        <v>0</v>
      </c>
      <c r="J45" s="15">
        <f>ROUND((AL45+AM45+AN45+AP45+AQ45+AO45)/D45,3)</f>
        <v>0</v>
      </c>
      <c r="K45" s="15">
        <f>ROUND((AS45+AT45+AU45+AV45+AW45)/D45,3)</f>
        <v>0</v>
      </c>
      <c r="L45" s="15">
        <f t="shared" si="58"/>
        <v>0</v>
      </c>
      <c r="M45" s="37">
        <f t="shared" si="64"/>
        <v>803.30799999999999</v>
      </c>
      <c r="N45" s="37">
        <f>BF45/D45</f>
        <v>0</v>
      </c>
      <c r="O45" s="37">
        <f t="shared" si="68"/>
        <v>76666.691999999995</v>
      </c>
      <c r="P45" s="37">
        <f>ROUND(BH45/D45,2)</f>
        <v>0</v>
      </c>
      <c r="Q45" s="15">
        <f t="shared" si="59"/>
        <v>127000</v>
      </c>
      <c r="R45" s="15">
        <f t="shared" si="69"/>
        <v>0</v>
      </c>
      <c r="S45" s="15">
        <f>ROUND((AX45+BD45)/D45,2)</f>
        <v>0</v>
      </c>
      <c r="T45" s="396">
        <f>Q45+R45+S45</f>
        <v>127000</v>
      </c>
      <c r="U45" s="674"/>
      <c r="V45" s="81">
        <v>989078</v>
      </c>
      <c r="W45" s="81">
        <v>298702</v>
      </c>
      <c r="X45" s="43"/>
      <c r="Y45" s="43"/>
      <c r="Z45" s="58"/>
      <c r="AA45" s="58"/>
      <c r="AB45" s="58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58"/>
      <c r="AP45" s="43"/>
      <c r="AQ45" s="43"/>
      <c r="AR45" s="142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437">
        <v>20886</v>
      </c>
      <c r="BF45" s="58"/>
      <c r="BG45" s="81">
        <v>1993334</v>
      </c>
      <c r="BH45" s="58"/>
      <c r="BI45" s="58">
        <f t="shared" si="70"/>
        <v>3302000</v>
      </c>
      <c r="BJ45" s="15"/>
      <c r="BK45" s="15"/>
      <c r="BL45" s="257">
        <f t="shared" si="49"/>
        <v>127000</v>
      </c>
      <c r="BM45" s="649"/>
      <c r="BN45" s="81">
        <f t="shared" si="71"/>
        <v>989078</v>
      </c>
      <c r="BO45" s="81">
        <f t="shared" si="71"/>
        <v>298702</v>
      </c>
      <c r="BP45" s="81">
        <f t="shared" si="72"/>
        <v>0</v>
      </c>
      <c r="BQ45" s="81">
        <f t="shared" si="73"/>
        <v>1993334</v>
      </c>
      <c r="BR45" s="81">
        <f t="shared" si="74"/>
        <v>20886</v>
      </c>
      <c r="BS45" s="81">
        <f t="shared" si="75"/>
        <v>0</v>
      </c>
      <c r="BT45" s="58">
        <f t="shared" si="76"/>
        <v>3302000</v>
      </c>
    </row>
    <row r="46" spans="1:72" ht="43.5" customHeight="1">
      <c r="A46" s="784"/>
      <c r="B46" s="273" t="s">
        <v>394</v>
      </c>
      <c r="C46" s="94"/>
      <c r="D46" s="64">
        <v>1</v>
      </c>
      <c r="E46" s="726"/>
      <c r="F46" s="15">
        <f>ROUND((V46+W46)/D46,3)</f>
        <v>0</v>
      </c>
      <c r="G46" s="15">
        <f>ROUND((X46+Y46)/D46,3)</f>
        <v>0</v>
      </c>
      <c r="H46" s="15">
        <f>F46+G46</f>
        <v>0</v>
      </c>
      <c r="I46" s="15">
        <f>ROUND(AK46/D46,3)</f>
        <v>0</v>
      </c>
      <c r="J46" s="15">
        <f>ROUND((AL46+AM46+AN46+AP46+AQ46+AO46)/D46,3)</f>
        <v>0</v>
      </c>
      <c r="K46" s="15">
        <f>ROUND((AS46+AT46+AU46+AV46+AW46)/D46,3)</f>
        <v>0</v>
      </c>
      <c r="L46" s="15">
        <f>ROUND((AZ46+BA46)/D46,3)</f>
        <v>0</v>
      </c>
      <c r="M46" s="37">
        <f>ROUND(BE46/D46,3)</f>
        <v>0</v>
      </c>
      <c r="N46" s="37">
        <f>BF46/D46</f>
        <v>0</v>
      </c>
      <c r="O46" s="37">
        <f>ROUND(BG46/D46,3)</f>
        <v>19500</v>
      </c>
      <c r="P46" s="37">
        <f>ROUND(BH46/D46,2)</f>
        <v>0</v>
      </c>
      <c r="Q46" s="15">
        <f>P46+O46+M46+L46+K46+J46+I46+H46+N46</f>
        <v>19500</v>
      </c>
      <c r="R46" s="15">
        <f>ROUND((Z46+AA46+AB46)/D46,3)</f>
        <v>0</v>
      </c>
      <c r="S46" s="15">
        <f>ROUND((AX46+BD46)/D46,2)</f>
        <v>0</v>
      </c>
      <c r="T46" s="396">
        <f>Q46+R46+S46</f>
        <v>19500</v>
      </c>
      <c r="U46" s="716"/>
      <c r="V46" s="81"/>
      <c r="W46" s="81"/>
      <c r="X46" s="43"/>
      <c r="Y46" s="43"/>
      <c r="Z46" s="58"/>
      <c r="AA46" s="58"/>
      <c r="AB46" s="58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58"/>
      <c r="AP46" s="43"/>
      <c r="AQ46" s="43"/>
      <c r="AR46" s="142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437"/>
      <c r="BF46" s="58"/>
      <c r="BG46" s="81">
        <v>19500</v>
      </c>
      <c r="BH46" s="58"/>
      <c r="BI46" s="58">
        <f t="shared" si="70"/>
        <v>19500</v>
      </c>
      <c r="BJ46" s="15"/>
      <c r="BK46" s="15"/>
      <c r="BL46" s="257">
        <f t="shared" si="49"/>
        <v>19500</v>
      </c>
      <c r="BM46" s="585"/>
      <c r="BN46" s="81">
        <f>V46+X46</f>
        <v>0</v>
      </c>
      <c r="BO46" s="81">
        <f>W46+Y46</f>
        <v>0</v>
      </c>
      <c r="BP46" s="81">
        <f t="shared" si="72"/>
        <v>0</v>
      </c>
      <c r="BQ46" s="81">
        <f t="shared" si="73"/>
        <v>19500</v>
      </c>
      <c r="BR46" s="81">
        <f t="shared" si="74"/>
        <v>0</v>
      </c>
      <c r="BS46" s="81">
        <f t="shared" si="75"/>
        <v>0</v>
      </c>
      <c r="BT46" s="58">
        <f t="shared" si="76"/>
        <v>19500</v>
      </c>
    </row>
    <row r="47" spans="1:72">
      <c r="A47" s="271"/>
      <c r="B47" s="270"/>
      <c r="C47" s="254"/>
      <c r="D47" s="199">
        <f>D41+D42+D43+D44+D45</f>
        <v>30</v>
      </c>
      <c r="E47" s="254"/>
      <c r="F47" s="24">
        <f t="shared" si="63"/>
        <v>48946.966999999997</v>
      </c>
      <c r="G47" s="24">
        <f>ROUND((X47+Y47)/D47,3)</f>
        <v>0</v>
      </c>
      <c r="H47" s="24">
        <f>F47+G47</f>
        <v>48946.966999999997</v>
      </c>
      <c r="I47" s="24">
        <f>ROUND(AK47/D47,3)</f>
        <v>0</v>
      </c>
      <c r="J47" s="24">
        <f>ROUND((AL47+AM47+AN47+AP47+AQ47+AO47)/D47,3)</f>
        <v>0</v>
      </c>
      <c r="K47" s="24">
        <f>ROUND((AS47+AT47+AU47+AV47+AW47)/D47,3)</f>
        <v>0</v>
      </c>
      <c r="L47" s="24">
        <f t="shared" si="58"/>
        <v>0</v>
      </c>
      <c r="M47" s="34">
        <f t="shared" si="64"/>
        <v>963.66700000000003</v>
      </c>
      <c r="N47" s="34">
        <f>BF47/D47</f>
        <v>0</v>
      </c>
      <c r="O47" s="34">
        <f t="shared" si="68"/>
        <v>92495.366999999998</v>
      </c>
      <c r="P47" s="34">
        <f>ROUND(BH47/D47,2)</f>
        <v>0</v>
      </c>
      <c r="Q47" s="24">
        <f t="shared" si="59"/>
        <v>142406.00099999999</v>
      </c>
      <c r="R47" s="24">
        <f t="shared" si="69"/>
        <v>0</v>
      </c>
      <c r="S47" s="24">
        <f>ROUND((AX47+BD47)/D47,2)</f>
        <v>0</v>
      </c>
      <c r="T47" s="399">
        <f>Q47+R47+S47</f>
        <v>142406.00099999999</v>
      </c>
      <c r="U47" s="254"/>
      <c r="V47" s="24">
        <f>SUM(V41:V46)</f>
        <v>1127810</v>
      </c>
      <c r="W47" s="24">
        <f t="shared" ref="W47:BT47" si="77">SUM(W41:W46)</f>
        <v>340599</v>
      </c>
      <c r="X47" s="24">
        <f t="shared" si="77"/>
        <v>0</v>
      </c>
      <c r="Y47" s="24">
        <f t="shared" si="77"/>
        <v>0</v>
      </c>
      <c r="Z47" s="24">
        <f t="shared" si="77"/>
        <v>0</v>
      </c>
      <c r="AA47" s="24">
        <f t="shared" si="77"/>
        <v>0</v>
      </c>
      <c r="AB47" s="24">
        <f t="shared" si="77"/>
        <v>0</v>
      </c>
      <c r="AC47" s="24">
        <f t="shared" si="77"/>
        <v>0</v>
      </c>
      <c r="AD47" s="24">
        <f t="shared" si="77"/>
        <v>0</v>
      </c>
      <c r="AE47" s="24">
        <f t="shared" si="77"/>
        <v>0</v>
      </c>
      <c r="AF47" s="24">
        <f t="shared" si="77"/>
        <v>0</v>
      </c>
      <c r="AG47" s="24">
        <f t="shared" si="77"/>
        <v>0</v>
      </c>
      <c r="AH47" s="24">
        <f t="shared" si="77"/>
        <v>0</v>
      </c>
      <c r="AI47" s="24">
        <f t="shared" si="77"/>
        <v>0</v>
      </c>
      <c r="AJ47" s="24">
        <f t="shared" si="77"/>
        <v>0</v>
      </c>
      <c r="AK47" s="24">
        <f t="shared" si="77"/>
        <v>0</v>
      </c>
      <c r="AL47" s="24">
        <f t="shared" si="77"/>
        <v>0</v>
      </c>
      <c r="AM47" s="24">
        <f t="shared" si="77"/>
        <v>0</v>
      </c>
      <c r="AN47" s="24">
        <f t="shared" si="77"/>
        <v>0</v>
      </c>
      <c r="AO47" s="24">
        <f t="shared" si="77"/>
        <v>0</v>
      </c>
      <c r="AP47" s="24">
        <f t="shared" si="77"/>
        <v>0</v>
      </c>
      <c r="AQ47" s="24">
        <f t="shared" si="77"/>
        <v>0</v>
      </c>
      <c r="AR47" s="24">
        <f t="shared" si="77"/>
        <v>0</v>
      </c>
      <c r="AS47" s="24">
        <f t="shared" si="77"/>
        <v>0</v>
      </c>
      <c r="AT47" s="24">
        <f t="shared" si="77"/>
        <v>0</v>
      </c>
      <c r="AU47" s="24">
        <f t="shared" si="77"/>
        <v>0</v>
      </c>
      <c r="AV47" s="24">
        <f t="shared" si="77"/>
        <v>0</v>
      </c>
      <c r="AW47" s="24">
        <f t="shared" si="77"/>
        <v>0</v>
      </c>
      <c r="AX47" s="24">
        <f t="shared" si="77"/>
        <v>0</v>
      </c>
      <c r="AY47" s="24">
        <f t="shared" si="77"/>
        <v>0</v>
      </c>
      <c r="AZ47" s="24">
        <f t="shared" si="77"/>
        <v>0</v>
      </c>
      <c r="BA47" s="24">
        <f t="shared" si="77"/>
        <v>0</v>
      </c>
      <c r="BB47" s="24">
        <f t="shared" si="77"/>
        <v>0</v>
      </c>
      <c r="BC47" s="24">
        <f t="shared" si="77"/>
        <v>0</v>
      </c>
      <c r="BD47" s="24">
        <f t="shared" si="77"/>
        <v>0</v>
      </c>
      <c r="BE47" s="24">
        <f t="shared" si="77"/>
        <v>28910</v>
      </c>
      <c r="BF47" s="24">
        <f t="shared" si="77"/>
        <v>0</v>
      </c>
      <c r="BG47" s="24">
        <f t="shared" si="77"/>
        <v>2774861</v>
      </c>
      <c r="BH47" s="24">
        <f t="shared" si="77"/>
        <v>0</v>
      </c>
      <c r="BI47" s="24">
        <f t="shared" si="77"/>
        <v>4272180</v>
      </c>
      <c r="BJ47" s="24">
        <f t="shared" si="77"/>
        <v>0</v>
      </c>
      <c r="BK47" s="24">
        <f t="shared" si="77"/>
        <v>0</v>
      </c>
      <c r="BL47" s="257">
        <f t="shared" si="49"/>
        <v>142406</v>
      </c>
      <c r="BM47" s="24">
        <f t="shared" si="77"/>
        <v>0</v>
      </c>
      <c r="BN47" s="24">
        <f t="shared" si="77"/>
        <v>1127810</v>
      </c>
      <c r="BO47" s="24">
        <f t="shared" si="77"/>
        <v>340599</v>
      </c>
      <c r="BP47" s="24">
        <f t="shared" si="77"/>
        <v>0</v>
      </c>
      <c r="BQ47" s="24">
        <f t="shared" si="77"/>
        <v>2774861</v>
      </c>
      <c r="BR47" s="24">
        <f t="shared" si="77"/>
        <v>28910</v>
      </c>
      <c r="BS47" s="24">
        <f t="shared" si="77"/>
        <v>0</v>
      </c>
      <c r="BT47" s="24">
        <f t="shared" si="77"/>
        <v>4272180</v>
      </c>
    </row>
    <row r="48" spans="1:72">
      <c r="A48" s="3"/>
      <c r="B48" s="3"/>
      <c r="D48" s="71"/>
      <c r="T48" s="400"/>
    </row>
    <row r="49" spans="1:72">
      <c r="A49" s="258" t="s">
        <v>42</v>
      </c>
      <c r="B49" s="258"/>
      <c r="C49" s="258"/>
      <c r="D49" s="199">
        <f>D37+D40+D47</f>
        <v>45</v>
      </c>
      <c r="E49" s="259"/>
      <c r="F49" s="24">
        <f>ROUND((V49+W49)/D49,3)</f>
        <v>49643.254000000001</v>
      </c>
      <c r="G49" s="24">
        <f>ROUND((X49+Y49)/D49,3)</f>
        <v>0</v>
      </c>
      <c r="H49" s="24">
        <f>F49+G49</f>
        <v>49643.254000000001</v>
      </c>
      <c r="I49" s="24">
        <f>ROUND(AK49/D49,3)</f>
        <v>0</v>
      </c>
      <c r="J49" s="24">
        <f>ROUND((AL49+AM49+AN49+AP49+AQ49+AO49)/D49,3)</f>
        <v>0</v>
      </c>
      <c r="K49" s="24">
        <f>ROUND((AS49+AT49+AU49+AV49+AW49)/D49,3)</f>
        <v>0</v>
      </c>
      <c r="L49" s="24">
        <f>ROUND((AZ49+BA49)/D49,3)</f>
        <v>0</v>
      </c>
      <c r="M49" s="34">
        <f>ROUND(BE49/D49,3)</f>
        <v>1294.6559999999999</v>
      </c>
      <c r="N49" s="34">
        <f>BF49/D49</f>
        <v>0</v>
      </c>
      <c r="O49" s="34">
        <f>ROUND(BG49/D49,3)</f>
        <v>110437.64599999999</v>
      </c>
      <c r="P49" s="34">
        <f>ROUND(BH49/D49,2)</f>
        <v>0</v>
      </c>
      <c r="Q49" s="24">
        <f>P49+O49+M49+L49+K49+J49+I49+H49+N49</f>
        <v>161375.55599999998</v>
      </c>
      <c r="R49" s="24">
        <f>ROUND((Z49+AA49+AB49)/D49,3)</f>
        <v>0</v>
      </c>
      <c r="S49" s="24">
        <f>ROUND((AX49+BD49)/D49,2)</f>
        <v>0</v>
      </c>
      <c r="T49" s="396">
        <f>Q49+R49+S49</f>
        <v>161375.55599999998</v>
      </c>
      <c r="U49" s="259"/>
      <c r="V49" s="24">
        <f t="shared" ref="V49:BK49" si="78">V37+V40+V47</f>
        <v>1715210.2</v>
      </c>
      <c r="W49" s="24">
        <f t="shared" si="78"/>
        <v>518736.20999999996</v>
      </c>
      <c r="X49" s="24">
        <f t="shared" si="78"/>
        <v>0</v>
      </c>
      <c r="Y49" s="24">
        <f t="shared" si="78"/>
        <v>0</v>
      </c>
      <c r="Z49" s="24">
        <f t="shared" si="78"/>
        <v>0</v>
      </c>
      <c r="AA49" s="24">
        <f t="shared" si="78"/>
        <v>0</v>
      </c>
      <c r="AB49" s="24">
        <f t="shared" si="78"/>
        <v>0</v>
      </c>
      <c r="AC49" s="24">
        <f t="shared" si="78"/>
        <v>0</v>
      </c>
      <c r="AD49" s="24">
        <f t="shared" si="78"/>
        <v>0</v>
      </c>
      <c r="AE49" s="24">
        <f t="shared" si="78"/>
        <v>0</v>
      </c>
      <c r="AF49" s="24">
        <f t="shared" si="78"/>
        <v>0</v>
      </c>
      <c r="AG49" s="24">
        <f t="shared" si="78"/>
        <v>0</v>
      </c>
      <c r="AH49" s="24">
        <f t="shared" si="78"/>
        <v>0</v>
      </c>
      <c r="AI49" s="24">
        <f t="shared" si="78"/>
        <v>0</v>
      </c>
      <c r="AJ49" s="24">
        <f t="shared" si="78"/>
        <v>0</v>
      </c>
      <c r="AK49" s="24">
        <f t="shared" si="78"/>
        <v>0</v>
      </c>
      <c r="AL49" s="24">
        <f t="shared" si="78"/>
        <v>0</v>
      </c>
      <c r="AM49" s="24">
        <f t="shared" si="78"/>
        <v>0</v>
      </c>
      <c r="AN49" s="24">
        <f t="shared" si="78"/>
        <v>0</v>
      </c>
      <c r="AO49" s="24">
        <f t="shared" si="78"/>
        <v>0</v>
      </c>
      <c r="AP49" s="24">
        <f t="shared" si="78"/>
        <v>0</v>
      </c>
      <c r="AQ49" s="24">
        <f t="shared" si="78"/>
        <v>0</v>
      </c>
      <c r="AR49" s="24">
        <f t="shared" si="78"/>
        <v>0</v>
      </c>
      <c r="AS49" s="24">
        <f t="shared" si="78"/>
        <v>0</v>
      </c>
      <c r="AT49" s="24">
        <f t="shared" si="78"/>
        <v>0</v>
      </c>
      <c r="AU49" s="24">
        <f t="shared" si="78"/>
        <v>0</v>
      </c>
      <c r="AV49" s="24">
        <f t="shared" si="78"/>
        <v>0</v>
      </c>
      <c r="AW49" s="24">
        <f t="shared" si="78"/>
        <v>0</v>
      </c>
      <c r="AX49" s="24">
        <f t="shared" si="78"/>
        <v>0</v>
      </c>
      <c r="AY49" s="24">
        <f t="shared" si="78"/>
        <v>0</v>
      </c>
      <c r="AZ49" s="24">
        <f t="shared" si="78"/>
        <v>0</v>
      </c>
      <c r="BA49" s="24">
        <f t="shared" si="78"/>
        <v>0</v>
      </c>
      <c r="BB49" s="24">
        <f t="shared" si="78"/>
        <v>0</v>
      </c>
      <c r="BC49" s="24">
        <f t="shared" si="78"/>
        <v>0</v>
      </c>
      <c r="BD49" s="24">
        <f t="shared" si="78"/>
        <v>0</v>
      </c>
      <c r="BE49" s="24">
        <f t="shared" si="78"/>
        <v>58259.5</v>
      </c>
      <c r="BF49" s="24">
        <f t="shared" si="78"/>
        <v>0</v>
      </c>
      <c r="BG49" s="24">
        <f t="shared" si="78"/>
        <v>4969694.09</v>
      </c>
      <c r="BH49" s="31">
        <f t="shared" si="78"/>
        <v>0</v>
      </c>
      <c r="BI49" s="31">
        <f t="shared" si="78"/>
        <v>7261900</v>
      </c>
      <c r="BJ49" s="31">
        <f t="shared" si="78"/>
        <v>0</v>
      </c>
      <c r="BK49" s="31">
        <f t="shared" si="78"/>
        <v>0</v>
      </c>
      <c r="BL49" s="257">
        <f>ROUND(BI49/D49,2)</f>
        <v>161375.56</v>
      </c>
      <c r="BM49" s="31"/>
      <c r="BN49" s="24">
        <f t="shared" ref="BN49:BT49" si="79">BN37+BN40+BN47</f>
        <v>1715210.2</v>
      </c>
      <c r="BO49" s="24">
        <f t="shared" si="79"/>
        <v>518736.20999999996</v>
      </c>
      <c r="BP49" s="24">
        <f t="shared" si="79"/>
        <v>0</v>
      </c>
      <c r="BQ49" s="24">
        <f t="shared" si="79"/>
        <v>4969694.09</v>
      </c>
      <c r="BR49" s="24">
        <f t="shared" si="79"/>
        <v>58259.5</v>
      </c>
      <c r="BS49" s="24">
        <f t="shared" si="79"/>
        <v>0</v>
      </c>
      <c r="BT49" s="24">
        <f t="shared" si="79"/>
        <v>7261900</v>
      </c>
    </row>
  </sheetData>
  <mergeCells count="117">
    <mergeCell ref="AY1:BS1"/>
    <mergeCell ref="BF5:BF9"/>
    <mergeCell ref="BD8:BD9"/>
    <mergeCell ref="AZ6:BC6"/>
    <mergeCell ref="AZ8:AZ9"/>
    <mergeCell ref="AZ5:BD5"/>
    <mergeCell ref="AS6:AY6"/>
    <mergeCell ref="K6:K9"/>
    <mergeCell ref="U4:U9"/>
    <mergeCell ref="V5:Y5"/>
    <mergeCell ref="A1:T1"/>
    <mergeCell ref="I6:I9"/>
    <mergeCell ref="J6:J9"/>
    <mergeCell ref="S6:S9"/>
    <mergeCell ref="B2:T2"/>
    <mergeCell ref="B3:T3"/>
    <mergeCell ref="Z5:AQ5"/>
    <mergeCell ref="AC6:AK6"/>
    <mergeCell ref="X7:X9"/>
    <mergeCell ref="D4:D9"/>
    <mergeCell ref="W7:W9"/>
    <mergeCell ref="T4:T9"/>
    <mergeCell ref="R6:R9"/>
    <mergeCell ref="Z7:AB8"/>
    <mergeCell ref="BN4:BT4"/>
    <mergeCell ref="BD6:BD7"/>
    <mergeCell ref="BL5:BL9"/>
    <mergeCell ref="BE5:BE9"/>
    <mergeCell ref="BJ5:BJ9"/>
    <mergeCell ref="BH5:BH9"/>
    <mergeCell ref="BG5:BG9"/>
    <mergeCell ref="AS5:AY5"/>
    <mergeCell ref="AU8:AW8"/>
    <mergeCell ref="AY8:AY9"/>
    <mergeCell ref="BT6:BT9"/>
    <mergeCell ref="BN5:BT5"/>
    <mergeCell ref="BM5:BM9"/>
    <mergeCell ref="BN6:BN9"/>
    <mergeCell ref="BO6:BO9"/>
    <mergeCell ref="BP6:BP9"/>
    <mergeCell ref="BQ6:BQ9"/>
    <mergeCell ref="V4:BL4"/>
    <mergeCell ref="Z6:AB6"/>
    <mergeCell ref="V6:Y6"/>
    <mergeCell ref="BR6:BR9"/>
    <mergeCell ref="BS6:BS9"/>
    <mergeCell ref="BK5:BK9"/>
    <mergeCell ref="BB8:BC8"/>
    <mergeCell ref="BA8:BA9"/>
    <mergeCell ref="N6:N9"/>
    <mergeCell ref="F5:P5"/>
    <mergeCell ref="C4:C9"/>
    <mergeCell ref="Y7:Y9"/>
    <mergeCell ref="V7:V9"/>
    <mergeCell ref="O6:O9"/>
    <mergeCell ref="L6:L9"/>
    <mergeCell ref="F7:H7"/>
    <mergeCell ref="Q4:Q9"/>
    <mergeCell ref="F4:P4"/>
    <mergeCell ref="M6:M9"/>
    <mergeCell ref="BI5:BI9"/>
    <mergeCell ref="BB7:BC7"/>
    <mergeCell ref="BM21:BM25"/>
    <mergeCell ref="BM11:BM16"/>
    <mergeCell ref="AR5:AR9"/>
    <mergeCell ref="A17:C17"/>
    <mergeCell ref="AS7:AW7"/>
    <mergeCell ref="AL7:AQ8"/>
    <mergeCell ref="E21:E24"/>
    <mergeCell ref="F8:F9"/>
    <mergeCell ref="B4:B9"/>
    <mergeCell ref="U11:U16"/>
    <mergeCell ref="E18:E19"/>
    <mergeCell ref="U18:U19"/>
    <mergeCell ref="G8:G9"/>
    <mergeCell ref="E11:E16"/>
    <mergeCell ref="C21:C24"/>
    <mergeCell ref="U21:U24"/>
    <mergeCell ref="F6:H6"/>
    <mergeCell ref="A18:A19"/>
    <mergeCell ref="BM18:BM19"/>
    <mergeCell ref="B10:T10"/>
    <mergeCell ref="P6:P9"/>
    <mergeCell ref="AL6:AQ6"/>
    <mergeCell ref="A10:A16"/>
    <mergeCell ref="AR11:AR15"/>
    <mergeCell ref="B30:T30"/>
    <mergeCell ref="A30:A36"/>
    <mergeCell ref="C31:C36"/>
    <mergeCell ref="E31:E36"/>
    <mergeCell ref="U31:U36"/>
    <mergeCell ref="AR18:AR19"/>
    <mergeCell ref="AX8:AX9"/>
    <mergeCell ref="AT8:AT9"/>
    <mergeCell ref="AS8:AS9"/>
    <mergeCell ref="AC7:AK8"/>
    <mergeCell ref="A21:A25"/>
    <mergeCell ref="H8:H9"/>
    <mergeCell ref="E4:E9"/>
    <mergeCell ref="R4:S5"/>
    <mergeCell ref="A4:A9"/>
    <mergeCell ref="C18:C19"/>
    <mergeCell ref="C11:C16"/>
    <mergeCell ref="BM38:BM39"/>
    <mergeCell ref="AR31:AR35"/>
    <mergeCell ref="BM41:BM45"/>
    <mergeCell ref="BM31:BM36"/>
    <mergeCell ref="A37:C37"/>
    <mergeCell ref="A38:A39"/>
    <mergeCell ref="C38:C39"/>
    <mergeCell ref="E38:E39"/>
    <mergeCell ref="U38:U39"/>
    <mergeCell ref="AR38:AR39"/>
    <mergeCell ref="A41:A46"/>
    <mergeCell ref="E41:E46"/>
    <mergeCell ref="U41:U46"/>
    <mergeCell ref="C41:C45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C00000"/>
  </sheetPr>
  <dimension ref="A1:BT178"/>
  <sheetViews>
    <sheetView tabSelected="1" zoomScale="70" zoomScaleNormal="70" workbookViewId="0">
      <pane ySplit="10" topLeftCell="A150" activePane="bottomLeft" state="frozen"/>
      <selection pane="bottomLeft" activeCell="T155" sqref="T155"/>
    </sheetView>
  </sheetViews>
  <sheetFormatPr defaultRowHeight="12.75" outlineLevelRow="1" outlineLevelCol="2"/>
  <cols>
    <col min="1" max="1" width="23.7109375" style="3" customWidth="1"/>
    <col min="2" max="2" width="23.42578125" style="3" customWidth="1"/>
    <col min="3" max="3" width="16.42578125" style="3" customWidth="1"/>
    <col min="4" max="4" width="15" style="3" customWidth="1"/>
    <col min="5" max="5" width="9.42578125" style="3" customWidth="1"/>
    <col min="6" max="6" width="13.28515625" style="3" customWidth="1"/>
    <col min="7" max="7" width="12.28515625" style="3" customWidth="1"/>
    <col min="8" max="8" width="11.5703125" style="3" customWidth="1"/>
    <col min="9" max="9" width="9.28515625" style="3" customWidth="1"/>
    <col min="10" max="10" width="11.5703125" style="3" customWidth="1"/>
    <col min="11" max="11" width="9.42578125" style="3" customWidth="1"/>
    <col min="12" max="12" width="9.5703125" style="3" customWidth="1"/>
    <col min="13" max="13" width="9.140625" style="3" customWidth="1"/>
    <col min="14" max="14" width="8.28515625" style="3" customWidth="1"/>
    <col min="15" max="15" width="10.42578125" style="3" customWidth="1"/>
    <col min="16" max="16" width="7.5703125" style="3" customWidth="1"/>
    <col min="17" max="17" width="10.85546875" style="3" customWidth="1"/>
    <col min="18" max="18" width="8.140625" style="3" customWidth="1"/>
    <col min="19" max="19" width="8.85546875" style="3" customWidth="1"/>
    <col min="20" max="20" width="12.28515625" style="449" customWidth="1"/>
    <col min="21" max="21" width="15.140625" style="3" customWidth="1"/>
    <col min="22" max="22" width="15.42578125" style="17" customWidth="1" outlineLevel="1"/>
    <col min="23" max="23" width="15.28515625" style="17" customWidth="1" outlineLevel="1"/>
    <col min="24" max="24" width="13.85546875" style="17" customWidth="1" outlineLevel="1"/>
    <col min="25" max="25" width="12.140625" style="17" customWidth="1" outlineLevel="1"/>
    <col min="26" max="26" width="12.28515625" style="17" customWidth="1" outlineLevel="1"/>
    <col min="27" max="27" width="12.42578125" style="17" customWidth="1" outlineLevel="1"/>
    <col min="28" max="28" width="12.7109375" style="17" customWidth="1" outlineLevel="1"/>
    <col min="29" max="29" width="12" style="17" customWidth="1" outlineLevel="1"/>
    <col min="30" max="30" width="13.28515625" style="17" customWidth="1" outlineLevel="1"/>
    <col min="31" max="31" width="1.42578125" style="17" hidden="1" customWidth="1" outlineLevel="2"/>
    <col min="32" max="32" width="11.28515625" style="17" customWidth="1" outlineLevel="1" collapsed="1"/>
    <col min="33" max="33" width="13" style="17" customWidth="1" outlineLevel="1"/>
    <col min="34" max="34" width="0.140625" style="17" customWidth="1" outlineLevel="1"/>
    <col min="35" max="35" width="6.85546875" style="17" customWidth="1" outlineLevel="1"/>
    <col min="36" max="36" width="10.140625" style="17" customWidth="1" outlineLevel="1"/>
    <col min="37" max="37" width="13" style="17" customWidth="1" outlineLevel="1"/>
    <col min="38" max="38" width="12.85546875" style="17" customWidth="1" outlineLevel="1"/>
    <col min="39" max="39" width="11.85546875" style="17" customWidth="1" outlineLevel="1"/>
    <col min="40" max="40" width="9.42578125" style="17" customWidth="1" outlineLevel="1"/>
    <col min="41" max="41" width="13.7109375" style="17" customWidth="1" outlineLevel="1"/>
    <col min="42" max="42" width="10.85546875" style="17" customWidth="1" outlineLevel="1"/>
    <col min="43" max="43" width="9.42578125" style="17" customWidth="1" outlineLevel="1"/>
    <col min="44" max="44" width="14.140625" style="3" customWidth="1" outlineLevel="1"/>
    <col min="45" max="45" width="13.140625" style="17" customWidth="1" outlineLevel="1"/>
    <col min="46" max="46" width="13.5703125" style="17" customWidth="1" outlineLevel="1"/>
    <col min="47" max="47" width="11.140625" style="17" customWidth="1" outlineLevel="1"/>
    <col min="48" max="48" width="8.28515625" style="17" customWidth="1" outlineLevel="1"/>
    <col min="49" max="49" width="11.140625" style="17" hidden="1" customWidth="1" outlineLevel="2"/>
    <col min="50" max="50" width="9.85546875" style="17" customWidth="1" outlineLevel="1" collapsed="1"/>
    <col min="51" max="51" width="13.7109375" style="17" hidden="1" customWidth="1" outlineLevel="2"/>
    <col min="52" max="52" width="9" style="17" customWidth="1" outlineLevel="1" collapsed="1"/>
    <col min="53" max="53" width="8.5703125" style="619" customWidth="1" outlineLevel="1"/>
    <col min="54" max="55" width="9.28515625" style="619" hidden="1" customWidth="1" outlineLevel="2"/>
    <col min="56" max="56" width="9.28515625" style="619" hidden="1" customWidth="1" outlineLevel="1" collapsed="1"/>
    <col min="57" max="57" width="11.42578125" style="619" customWidth="1" outlineLevel="1"/>
    <col min="58" max="58" width="16" style="619" customWidth="1" outlineLevel="1"/>
    <col min="59" max="59" width="9.85546875" style="619" hidden="1" customWidth="1" outlineLevel="1"/>
    <col min="60" max="60" width="16.28515625" style="620" customWidth="1" collapsed="1"/>
    <col min="61" max="61" width="11" style="621" customWidth="1" outlineLevel="1"/>
    <col min="62" max="62" width="15.5703125" style="622" customWidth="1"/>
    <col min="63" max="63" width="16" style="622" customWidth="1"/>
    <col min="64" max="64" width="14.5703125" style="622" customWidth="1"/>
    <col min="65" max="65" width="14.5703125" style="623" customWidth="1"/>
    <col min="66" max="66" width="12.28515625" style="623" customWidth="1"/>
    <col min="67" max="67" width="12.28515625" style="622" customWidth="1"/>
    <col min="68" max="68" width="15" style="622" customWidth="1"/>
    <col min="69" max="69" width="13.5703125" style="374" bestFit="1" customWidth="1"/>
    <col min="70" max="70" width="12.42578125" style="374" bestFit="1" customWidth="1"/>
    <col min="71" max="72" width="10.85546875" style="374" bestFit="1" customWidth="1"/>
    <col min="73" max="16384" width="9.140625" style="374"/>
  </cols>
  <sheetData>
    <row r="1" spans="1:71" ht="26.25" customHeight="1">
      <c r="G1" s="769" t="s">
        <v>413</v>
      </c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AJ1" s="769"/>
      <c r="AK1" s="769"/>
      <c r="AL1" s="769"/>
      <c r="AM1" s="769"/>
      <c r="BK1" s="749"/>
      <c r="BL1" s="749"/>
      <c r="BM1" s="749"/>
      <c r="BN1" s="749"/>
      <c r="BO1" s="749"/>
    </row>
    <row r="2" spans="1:71" ht="21" customHeight="1">
      <c r="C2" s="825" t="s">
        <v>369</v>
      </c>
      <c r="D2" s="825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BJ2" s="623"/>
      <c r="BK2" s="623"/>
    </row>
    <row r="3" spans="1:71" ht="21" customHeight="1">
      <c r="C3" s="873" t="s">
        <v>368</v>
      </c>
      <c r="D3" s="873"/>
      <c r="E3" s="873"/>
      <c r="F3" s="873"/>
      <c r="G3" s="873"/>
      <c r="H3" s="873"/>
      <c r="I3" s="873"/>
      <c r="J3" s="873"/>
      <c r="K3" s="873"/>
      <c r="L3" s="873"/>
      <c r="M3" s="873"/>
      <c r="N3" s="873"/>
      <c r="O3" s="873"/>
      <c r="P3" s="873"/>
      <c r="Q3" s="873"/>
      <c r="R3" s="873"/>
      <c r="S3" s="873"/>
      <c r="T3" s="873"/>
      <c r="U3" s="873"/>
      <c r="V3" s="873"/>
      <c r="BJ3" s="623"/>
      <c r="BK3" s="623"/>
      <c r="BL3" s="623"/>
      <c r="BO3" s="623"/>
      <c r="BP3" s="623"/>
    </row>
    <row r="4" spans="1:71" ht="21" customHeight="1">
      <c r="C4" s="117"/>
      <c r="D4" s="117"/>
      <c r="E4" s="117"/>
      <c r="F4" s="117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117"/>
      <c r="R4" s="117"/>
      <c r="S4" s="117"/>
      <c r="T4" s="117"/>
      <c r="U4" s="117"/>
      <c r="V4" s="365"/>
      <c r="BJ4" s="623">
        <f>BJ18+'0902 Пр.2(7)мед освид'!BK13+'0902 Пр.2(7)мед освид'!BK14</f>
        <v>44600198.919999994</v>
      </c>
      <c r="BK4" s="623">
        <f>BK18+'0902 Пр.2(7)мед освид'!BL13+'0902 Пр.2(7)мед освид'!BL14</f>
        <v>13522785.189999998</v>
      </c>
      <c r="BL4" s="623">
        <f>BL18+'0902 Пр.2(7)мед освид'!BM13+'0902 Пр.2(7)мед освид'!BM14</f>
        <v>1537526</v>
      </c>
      <c r="BM4" s="623">
        <f>BM18+'0902 Пр.2(7)мед освид'!BN13+'0902 Пр.2(7)мед освид'!BN14</f>
        <v>944365.34</v>
      </c>
      <c r="BN4" s="623">
        <f>BN18</f>
        <v>46227</v>
      </c>
      <c r="BO4" s="623">
        <f>BO18+'0902 Пр.2(7)мед освид'!BO13+'0902 Пр.2(7)мед освид'!BO14</f>
        <v>871458.81</v>
      </c>
      <c r="BP4" s="623">
        <f>BP18+'0902 Пр.2(7)мед освид'!BP13+'0902 Пр.2(7)мед освид'!BP14</f>
        <v>61522561.259999998</v>
      </c>
    </row>
    <row r="5" spans="1:71" ht="44.25" customHeight="1">
      <c r="A5" s="713" t="s">
        <v>0</v>
      </c>
      <c r="B5" s="713" t="s">
        <v>195</v>
      </c>
      <c r="C5" s="713" t="s">
        <v>2</v>
      </c>
      <c r="D5" s="713" t="s">
        <v>199</v>
      </c>
      <c r="E5" s="713" t="s">
        <v>1</v>
      </c>
      <c r="F5" s="871" t="s">
        <v>68</v>
      </c>
      <c r="G5" s="722" t="s">
        <v>426</v>
      </c>
      <c r="H5" s="723"/>
      <c r="I5" s="723"/>
      <c r="J5" s="723"/>
      <c r="K5" s="723"/>
      <c r="L5" s="723"/>
      <c r="M5" s="723"/>
      <c r="N5" s="723"/>
      <c r="O5" s="723"/>
      <c r="P5" s="723"/>
      <c r="Q5" s="675" t="s">
        <v>55</v>
      </c>
      <c r="R5" s="724" t="s">
        <v>56</v>
      </c>
      <c r="S5" s="866"/>
      <c r="T5" s="869" t="s">
        <v>54</v>
      </c>
      <c r="U5" s="871" t="s">
        <v>68</v>
      </c>
      <c r="V5" s="745" t="s">
        <v>60</v>
      </c>
      <c r="W5" s="746"/>
      <c r="X5" s="746"/>
      <c r="Y5" s="747"/>
      <c r="Z5" s="747"/>
      <c r="AA5" s="747"/>
      <c r="AB5" s="747"/>
      <c r="AC5" s="747"/>
      <c r="AD5" s="747"/>
      <c r="AE5" s="747"/>
      <c r="AF5" s="747"/>
      <c r="AG5" s="747"/>
      <c r="AH5" s="747"/>
      <c r="AI5" s="747"/>
      <c r="AJ5" s="747"/>
      <c r="AK5" s="747"/>
      <c r="AL5" s="747"/>
      <c r="AM5" s="747"/>
      <c r="AN5" s="747"/>
      <c r="AO5" s="747"/>
      <c r="AP5" s="747"/>
      <c r="AQ5" s="747"/>
      <c r="AR5" s="747"/>
      <c r="AS5" s="747"/>
      <c r="AT5" s="747"/>
      <c r="AU5" s="747"/>
      <c r="AV5" s="747"/>
      <c r="AW5" s="747"/>
      <c r="AX5" s="747"/>
      <c r="AY5" s="747"/>
      <c r="AZ5" s="747"/>
      <c r="BA5" s="747"/>
      <c r="BB5" s="747"/>
      <c r="BC5" s="747"/>
      <c r="BD5" s="747"/>
      <c r="BE5" s="747"/>
      <c r="BF5" s="747"/>
      <c r="BG5" s="747"/>
      <c r="BH5" s="747"/>
      <c r="BI5" s="748"/>
      <c r="BJ5" s="878"/>
      <c r="BK5" s="878"/>
      <c r="BL5" s="878"/>
      <c r="BM5" s="878"/>
      <c r="BN5" s="878"/>
      <c r="BO5" s="878"/>
      <c r="BP5" s="878"/>
    </row>
    <row r="6" spans="1:71" s="622" customFormat="1" ht="53.25" customHeight="1">
      <c r="A6" s="863"/>
      <c r="B6" s="863"/>
      <c r="C6" s="863"/>
      <c r="D6" s="863"/>
      <c r="E6" s="863"/>
      <c r="F6" s="863"/>
      <c r="G6" s="680" t="s">
        <v>59</v>
      </c>
      <c r="H6" s="872"/>
      <c r="I6" s="872"/>
      <c r="J6" s="872"/>
      <c r="K6" s="872"/>
      <c r="L6" s="872"/>
      <c r="M6" s="872"/>
      <c r="N6" s="872"/>
      <c r="O6" s="872"/>
      <c r="P6" s="872"/>
      <c r="Q6" s="863"/>
      <c r="R6" s="867"/>
      <c r="S6" s="868"/>
      <c r="T6" s="870"/>
      <c r="U6" s="863"/>
      <c r="V6" s="676" t="s">
        <v>62</v>
      </c>
      <c r="W6" s="676"/>
      <c r="X6" s="676"/>
      <c r="Y6" s="864"/>
      <c r="Z6" s="688" t="s">
        <v>8</v>
      </c>
      <c r="AA6" s="688"/>
      <c r="AB6" s="688"/>
      <c r="AC6" s="688"/>
      <c r="AD6" s="688"/>
      <c r="AE6" s="688"/>
      <c r="AF6" s="688"/>
      <c r="AG6" s="688"/>
      <c r="AH6" s="688"/>
      <c r="AI6" s="688"/>
      <c r="AJ6" s="688"/>
      <c r="AK6" s="688"/>
      <c r="AL6" s="688"/>
      <c r="AM6" s="688"/>
      <c r="AN6" s="688"/>
      <c r="AO6" s="688"/>
      <c r="AP6" s="688"/>
      <c r="AQ6" s="688"/>
      <c r="AR6" s="871" t="s">
        <v>68</v>
      </c>
      <c r="AS6" s="688" t="s">
        <v>19</v>
      </c>
      <c r="AT6" s="688"/>
      <c r="AU6" s="688"/>
      <c r="AV6" s="688"/>
      <c r="AW6" s="688"/>
      <c r="AX6" s="688"/>
      <c r="AY6" s="688"/>
      <c r="AZ6" s="676" t="s">
        <v>19</v>
      </c>
      <c r="BA6" s="676"/>
      <c r="BB6" s="676"/>
      <c r="BC6" s="676"/>
      <c r="BD6" s="676"/>
      <c r="BE6" s="676" t="s">
        <v>20</v>
      </c>
      <c r="BF6" s="676" t="s">
        <v>13</v>
      </c>
      <c r="BG6" s="676" t="s">
        <v>21</v>
      </c>
      <c r="BH6" s="676" t="s">
        <v>22</v>
      </c>
      <c r="BI6" s="874" t="s">
        <v>25</v>
      </c>
      <c r="BJ6" s="878" t="s">
        <v>129</v>
      </c>
      <c r="BK6" s="878"/>
      <c r="BL6" s="878"/>
      <c r="BM6" s="878"/>
      <c r="BN6" s="878"/>
      <c r="BO6" s="878"/>
      <c r="BP6" s="878"/>
    </row>
    <row r="7" spans="1:71" s="624" customFormat="1" ht="21" customHeight="1">
      <c r="A7" s="863"/>
      <c r="B7" s="863"/>
      <c r="C7" s="863"/>
      <c r="D7" s="863"/>
      <c r="E7" s="863"/>
      <c r="F7" s="863"/>
      <c r="G7" s="680" t="s">
        <v>53</v>
      </c>
      <c r="H7" s="872"/>
      <c r="I7" s="872"/>
      <c r="J7" s="680" t="s">
        <v>27</v>
      </c>
      <c r="K7" s="680" t="s">
        <v>10</v>
      </c>
      <c r="L7" s="680" t="s">
        <v>5</v>
      </c>
      <c r="M7" s="680" t="s">
        <v>51</v>
      </c>
      <c r="N7" s="680" t="s">
        <v>20</v>
      </c>
      <c r="O7" s="680" t="s">
        <v>13</v>
      </c>
      <c r="P7" s="680" t="s">
        <v>21</v>
      </c>
      <c r="Q7" s="863"/>
      <c r="R7" s="680" t="s">
        <v>16</v>
      </c>
      <c r="S7" s="680" t="s">
        <v>52</v>
      </c>
      <c r="T7" s="870"/>
      <c r="U7" s="863"/>
      <c r="V7" s="676" t="s">
        <v>66</v>
      </c>
      <c r="W7" s="864"/>
      <c r="X7" s="864"/>
      <c r="Y7" s="864"/>
      <c r="Z7" s="676" t="s">
        <v>63</v>
      </c>
      <c r="AA7" s="676"/>
      <c r="AB7" s="676"/>
      <c r="AC7" s="676"/>
      <c r="AD7" s="692">
        <v>340</v>
      </c>
      <c r="AE7" s="692"/>
      <c r="AF7" s="692"/>
      <c r="AG7" s="692"/>
      <c r="AH7" s="692"/>
      <c r="AI7" s="692"/>
      <c r="AJ7" s="692"/>
      <c r="AK7" s="692"/>
      <c r="AL7" s="692"/>
      <c r="AM7" s="676" t="s">
        <v>4</v>
      </c>
      <c r="AN7" s="676"/>
      <c r="AO7" s="676"/>
      <c r="AP7" s="676"/>
      <c r="AQ7" s="676"/>
      <c r="AR7" s="863"/>
      <c r="AS7" s="676" t="s">
        <v>5</v>
      </c>
      <c r="AT7" s="676"/>
      <c r="AU7" s="676"/>
      <c r="AV7" s="676"/>
      <c r="AW7" s="676"/>
      <c r="AX7" s="676"/>
      <c r="AY7" s="676"/>
      <c r="AZ7" s="676" t="s">
        <v>6</v>
      </c>
      <c r="BA7" s="865"/>
      <c r="BB7" s="864"/>
      <c r="BC7" s="864"/>
      <c r="BD7" s="676">
        <v>290</v>
      </c>
      <c r="BE7" s="676"/>
      <c r="BF7" s="676"/>
      <c r="BG7" s="676"/>
      <c r="BH7" s="676"/>
      <c r="BI7" s="874"/>
      <c r="BJ7" s="875">
        <v>2110</v>
      </c>
      <c r="BK7" s="875">
        <v>2130</v>
      </c>
      <c r="BL7" s="875">
        <v>2230</v>
      </c>
      <c r="BM7" s="875">
        <v>7500</v>
      </c>
      <c r="BN7" s="875">
        <v>7520</v>
      </c>
      <c r="BO7" s="875">
        <v>7660</v>
      </c>
      <c r="BP7" s="877" t="s">
        <v>130</v>
      </c>
    </row>
    <row r="8" spans="1:71" s="624" customFormat="1" ht="47.25" customHeight="1">
      <c r="A8" s="863"/>
      <c r="B8" s="863"/>
      <c r="C8" s="863"/>
      <c r="D8" s="863"/>
      <c r="E8" s="863"/>
      <c r="F8" s="863"/>
      <c r="G8" s="680" t="s">
        <v>26</v>
      </c>
      <c r="H8" s="680"/>
      <c r="I8" s="680"/>
      <c r="J8" s="872"/>
      <c r="K8" s="872"/>
      <c r="L8" s="872"/>
      <c r="M8" s="872"/>
      <c r="N8" s="872"/>
      <c r="O8" s="872"/>
      <c r="P8" s="872"/>
      <c r="Q8" s="863"/>
      <c r="R8" s="872"/>
      <c r="S8" s="872"/>
      <c r="T8" s="870"/>
      <c r="U8" s="863"/>
      <c r="V8" s="676" t="s">
        <v>3</v>
      </c>
      <c r="W8" s="676" t="s">
        <v>64</v>
      </c>
      <c r="X8" s="676" t="s">
        <v>12</v>
      </c>
      <c r="Y8" s="676" t="s">
        <v>65</v>
      </c>
      <c r="Z8" s="676" t="s">
        <v>16</v>
      </c>
      <c r="AA8" s="676"/>
      <c r="AB8" s="676"/>
      <c r="AC8" s="676"/>
      <c r="AD8" s="676" t="s">
        <v>27</v>
      </c>
      <c r="AE8" s="676"/>
      <c r="AF8" s="676"/>
      <c r="AG8" s="676"/>
      <c r="AH8" s="676"/>
      <c r="AI8" s="676"/>
      <c r="AJ8" s="676"/>
      <c r="AK8" s="676"/>
      <c r="AL8" s="676"/>
      <c r="AM8" s="676" t="s">
        <v>10</v>
      </c>
      <c r="AN8" s="676"/>
      <c r="AO8" s="676"/>
      <c r="AP8" s="676"/>
      <c r="AQ8" s="676"/>
      <c r="AR8" s="863"/>
      <c r="AS8" s="692">
        <v>225</v>
      </c>
      <c r="AT8" s="692"/>
      <c r="AU8" s="692"/>
      <c r="AV8" s="692"/>
      <c r="AW8" s="692"/>
      <c r="AX8" s="47">
        <v>290</v>
      </c>
      <c r="AY8" s="47">
        <v>224</v>
      </c>
      <c r="AZ8" s="20" t="s">
        <v>4</v>
      </c>
      <c r="BA8" s="20" t="s">
        <v>4</v>
      </c>
      <c r="BB8" s="676" t="s">
        <v>4</v>
      </c>
      <c r="BC8" s="676"/>
      <c r="BD8" s="676"/>
      <c r="BE8" s="676"/>
      <c r="BF8" s="676"/>
      <c r="BG8" s="676"/>
      <c r="BH8" s="676"/>
      <c r="BI8" s="874"/>
      <c r="BJ8" s="875"/>
      <c r="BK8" s="875"/>
      <c r="BL8" s="875"/>
      <c r="BM8" s="875"/>
      <c r="BN8" s="875"/>
      <c r="BO8" s="875"/>
      <c r="BP8" s="877"/>
    </row>
    <row r="9" spans="1:71" s="624" customFormat="1" ht="34.5" customHeight="1">
      <c r="A9" s="863"/>
      <c r="B9" s="863"/>
      <c r="C9" s="863"/>
      <c r="D9" s="863"/>
      <c r="E9" s="863"/>
      <c r="F9" s="863"/>
      <c r="G9" s="680" t="s">
        <v>3</v>
      </c>
      <c r="H9" s="680" t="s">
        <v>12</v>
      </c>
      <c r="I9" s="680" t="s">
        <v>11</v>
      </c>
      <c r="J9" s="872"/>
      <c r="K9" s="872"/>
      <c r="L9" s="872"/>
      <c r="M9" s="872"/>
      <c r="N9" s="872"/>
      <c r="O9" s="872"/>
      <c r="P9" s="872"/>
      <c r="Q9" s="863"/>
      <c r="R9" s="872"/>
      <c r="S9" s="872"/>
      <c r="T9" s="870"/>
      <c r="U9" s="863"/>
      <c r="V9" s="864"/>
      <c r="W9" s="864"/>
      <c r="X9" s="864"/>
      <c r="Y9" s="864"/>
      <c r="Z9" s="676"/>
      <c r="AA9" s="676"/>
      <c r="AB9" s="676"/>
      <c r="AC9" s="676"/>
      <c r="AD9" s="676"/>
      <c r="AE9" s="676"/>
      <c r="AF9" s="676"/>
      <c r="AG9" s="676"/>
      <c r="AH9" s="676"/>
      <c r="AI9" s="676"/>
      <c r="AJ9" s="676"/>
      <c r="AK9" s="676"/>
      <c r="AL9" s="676"/>
      <c r="AM9" s="676"/>
      <c r="AN9" s="676"/>
      <c r="AO9" s="676"/>
      <c r="AP9" s="676"/>
      <c r="AQ9" s="676"/>
      <c r="AR9" s="863"/>
      <c r="AS9" s="676" t="s">
        <v>127</v>
      </c>
      <c r="AT9" s="676" t="s">
        <v>137</v>
      </c>
      <c r="AU9" s="676" t="s">
        <v>138</v>
      </c>
      <c r="AV9" s="676"/>
      <c r="AW9" s="676"/>
      <c r="AX9" s="676" t="s">
        <v>31</v>
      </c>
      <c r="AY9" s="676" t="s">
        <v>124</v>
      </c>
      <c r="AZ9" s="676" t="s">
        <v>32</v>
      </c>
      <c r="BA9" s="676" t="s">
        <v>33</v>
      </c>
      <c r="BB9" s="676" t="s">
        <v>34</v>
      </c>
      <c r="BC9" s="676"/>
      <c r="BD9" s="676" t="s">
        <v>126</v>
      </c>
      <c r="BE9" s="676"/>
      <c r="BF9" s="676"/>
      <c r="BG9" s="676"/>
      <c r="BH9" s="676"/>
      <c r="BI9" s="874"/>
      <c r="BJ9" s="875"/>
      <c r="BK9" s="875"/>
      <c r="BL9" s="875"/>
      <c r="BM9" s="875"/>
      <c r="BN9" s="875"/>
      <c r="BO9" s="875"/>
      <c r="BP9" s="877"/>
      <c r="BQ9" s="823"/>
      <c r="BR9" s="824"/>
      <c r="BS9" s="824"/>
    </row>
    <row r="10" spans="1:71" s="624" customFormat="1" ht="99" customHeight="1">
      <c r="A10" s="863"/>
      <c r="B10" s="882"/>
      <c r="C10" s="863"/>
      <c r="D10" s="882"/>
      <c r="E10" s="863"/>
      <c r="F10" s="863"/>
      <c r="G10" s="675"/>
      <c r="H10" s="675"/>
      <c r="I10" s="675"/>
      <c r="J10" s="876"/>
      <c r="K10" s="876"/>
      <c r="L10" s="876"/>
      <c r="M10" s="876"/>
      <c r="N10" s="876"/>
      <c r="O10" s="876"/>
      <c r="P10" s="876"/>
      <c r="Q10" s="863"/>
      <c r="R10" s="876"/>
      <c r="S10" s="876"/>
      <c r="T10" s="870"/>
      <c r="U10" s="863"/>
      <c r="V10" s="864"/>
      <c r="W10" s="864"/>
      <c r="X10" s="864"/>
      <c r="Y10" s="864"/>
      <c r="Z10" s="20" t="s">
        <v>9</v>
      </c>
      <c r="AA10" s="20" t="s">
        <v>98</v>
      </c>
      <c r="AB10" s="20" t="s">
        <v>17</v>
      </c>
      <c r="AC10" s="20" t="s">
        <v>18</v>
      </c>
      <c r="AD10" s="20" t="s">
        <v>36</v>
      </c>
      <c r="AE10" s="20" t="s">
        <v>37</v>
      </c>
      <c r="AF10" s="20" t="s">
        <v>38</v>
      </c>
      <c r="AG10" s="20" t="s">
        <v>39</v>
      </c>
      <c r="AH10" s="20" t="s">
        <v>40</v>
      </c>
      <c r="AI10" s="20" t="s">
        <v>14</v>
      </c>
      <c r="AJ10" s="20" t="s">
        <v>41</v>
      </c>
      <c r="AK10" s="20" t="s">
        <v>15</v>
      </c>
      <c r="AL10" s="20" t="s">
        <v>42</v>
      </c>
      <c r="AM10" s="20" t="s">
        <v>43</v>
      </c>
      <c r="AN10" s="20" t="s">
        <v>44</v>
      </c>
      <c r="AO10" s="20" t="s">
        <v>45</v>
      </c>
      <c r="AP10" s="20" t="s">
        <v>46</v>
      </c>
      <c r="AQ10" s="20" t="s">
        <v>47</v>
      </c>
      <c r="AR10" s="863"/>
      <c r="AS10" s="676"/>
      <c r="AT10" s="676"/>
      <c r="AU10" s="20" t="s">
        <v>48</v>
      </c>
      <c r="AV10" s="20" t="s">
        <v>49</v>
      </c>
      <c r="AW10" s="20" t="s">
        <v>50</v>
      </c>
      <c r="AX10" s="676"/>
      <c r="AY10" s="676"/>
      <c r="AZ10" s="676"/>
      <c r="BA10" s="676"/>
      <c r="BB10" s="676"/>
      <c r="BC10" s="676"/>
      <c r="BD10" s="676"/>
      <c r="BE10" s="676"/>
      <c r="BF10" s="676"/>
      <c r="BG10" s="676"/>
      <c r="BH10" s="676"/>
      <c r="BI10" s="874"/>
      <c r="BJ10" s="875"/>
      <c r="BK10" s="875"/>
      <c r="BL10" s="875"/>
      <c r="BM10" s="875"/>
      <c r="BN10" s="875"/>
      <c r="BO10" s="875"/>
      <c r="BP10" s="877"/>
    </row>
    <row r="11" spans="1:71" s="111" customFormat="1" ht="23.25" customHeight="1">
      <c r="A11" s="845" t="s">
        <v>194</v>
      </c>
      <c r="B11" s="845" t="s">
        <v>197</v>
      </c>
      <c r="C11" s="845" t="s">
        <v>189</v>
      </c>
      <c r="D11" s="171" t="s">
        <v>190</v>
      </c>
      <c r="E11" s="628">
        <f>E25+E31+E37+E43+E49+E55+E61+E67+E73+E79+E85+E91+E97+E103+E109+E115+E121+E127+E133+E139+E145+E151+E157+E163</f>
        <v>13886</v>
      </c>
      <c r="F11" s="839" t="s">
        <v>217</v>
      </c>
      <c r="G11" s="163">
        <f t="shared" ref="G11:G17" si="0">ROUND((V11+W11)/E11,3)</f>
        <v>517.57000000000005</v>
      </c>
      <c r="H11" s="163">
        <f>ROUND((X11+Y11)/E11,3)</f>
        <v>16.594000000000001</v>
      </c>
      <c r="I11" s="163">
        <f t="shared" ref="I11:I16" si="1">G11+H11</f>
        <v>534.1640000000001</v>
      </c>
      <c r="J11" s="163">
        <f>ROUND((AL11-AK11)/E11,3)</f>
        <v>3.5630000000000002</v>
      </c>
      <c r="K11" s="163">
        <f>ROUND((AM11+AN11+AO11+AP11+AQ11)/E11,3)</f>
        <v>0.14699999999999999</v>
      </c>
      <c r="L11" s="163">
        <f>ROUND((AS11+AT11+AU11+AV11+AW11)/E11,3)</f>
        <v>6.0000000000000001E-3</v>
      </c>
      <c r="M11" s="163">
        <f t="shared" ref="M11:M17" si="2">ROUND((AZ11+BA11)/E11,2)</f>
        <v>0</v>
      </c>
      <c r="N11" s="164">
        <f>ROUND(BE11/E11,2)</f>
        <v>0</v>
      </c>
      <c r="O11" s="164">
        <f>ROUND(BF11/E11,2)</f>
        <v>2.13</v>
      </c>
      <c r="P11" s="164">
        <f>ROUND(AK11/E11,3)</f>
        <v>1.5309999999999999</v>
      </c>
      <c r="Q11" s="163">
        <f t="shared" ref="Q11:Q29" si="3">P11+O11+N11+M11+L11+K11+J11+I11</f>
        <v>541.54100000000005</v>
      </c>
      <c r="R11" s="163">
        <f>ROUND((Z11+AB11+AC11+AA11)/E11,2)</f>
        <v>13.95</v>
      </c>
      <c r="S11" s="163">
        <f t="shared" ref="S11:S17" si="4">ROUND(AX11/E11,2)</f>
        <v>0</v>
      </c>
      <c r="T11" s="626">
        <f t="shared" ref="T11:T17" si="5">Q11+R11+S11</f>
        <v>555.4910000000001</v>
      </c>
      <c r="U11" s="839" t="s">
        <v>217</v>
      </c>
      <c r="V11" s="306">
        <f>V25+V31+V37+V43+V49+V55+V61+V67+V73+V79+V85+V91+V97+V103+V109+V115+V121+V127+V133+V139+V145+V151+V157</f>
        <v>5525144</v>
      </c>
      <c r="W11" s="306">
        <f t="shared" ref="W11:BH11" si="6">W25+W31+W37+W43+W49+W55+W61+W67+W73+W79+W85+W91+W97+W103+W109+W115+W121+W127+W133+W139+W145+W151+W157</f>
        <v>1661838.45</v>
      </c>
      <c r="X11" s="306">
        <f t="shared" si="6"/>
        <v>176982</v>
      </c>
      <c r="Y11" s="306">
        <f t="shared" si="6"/>
        <v>53449</v>
      </c>
      <c r="Z11" s="306">
        <f t="shared" si="6"/>
        <v>89531</v>
      </c>
      <c r="AA11" s="306">
        <f t="shared" si="6"/>
        <v>25395</v>
      </c>
      <c r="AB11" s="306">
        <f t="shared" si="6"/>
        <v>46449</v>
      </c>
      <c r="AC11" s="306">
        <f t="shared" si="6"/>
        <v>32403</v>
      </c>
      <c r="AD11" s="306">
        <f t="shared" si="6"/>
        <v>35357</v>
      </c>
      <c r="AE11" s="306">
        <f t="shared" si="6"/>
        <v>0</v>
      </c>
      <c r="AF11" s="306">
        <f t="shared" si="6"/>
        <v>3556</v>
      </c>
      <c r="AG11" s="306">
        <f t="shared" si="6"/>
        <v>10562</v>
      </c>
      <c r="AH11" s="306">
        <f t="shared" si="6"/>
        <v>0</v>
      </c>
      <c r="AI11" s="306">
        <f t="shared" si="6"/>
        <v>0</v>
      </c>
      <c r="AJ11" s="306">
        <f t="shared" si="6"/>
        <v>0</v>
      </c>
      <c r="AK11" s="306">
        <f t="shared" si="6"/>
        <v>21258</v>
      </c>
      <c r="AL11" s="306">
        <f t="shared" si="6"/>
        <v>70733</v>
      </c>
      <c r="AM11" s="306">
        <f t="shared" si="6"/>
        <v>1447</v>
      </c>
      <c r="AN11" s="306">
        <f t="shared" si="6"/>
        <v>0</v>
      </c>
      <c r="AO11" s="306">
        <f t="shared" si="6"/>
        <v>0</v>
      </c>
      <c r="AP11" s="306">
        <f t="shared" si="6"/>
        <v>600</v>
      </c>
      <c r="AQ11" s="306">
        <f t="shared" si="6"/>
        <v>0</v>
      </c>
      <c r="AR11" s="842" t="s">
        <v>217</v>
      </c>
      <c r="AS11" s="306">
        <f t="shared" si="6"/>
        <v>0</v>
      </c>
      <c r="AT11" s="306">
        <f t="shared" si="6"/>
        <v>0</v>
      </c>
      <c r="AU11" s="306">
        <f t="shared" si="6"/>
        <v>80</v>
      </c>
      <c r="AV11" s="306">
        <f t="shared" si="6"/>
        <v>0</v>
      </c>
      <c r="AW11" s="306">
        <f t="shared" si="6"/>
        <v>0</v>
      </c>
      <c r="AX11" s="306">
        <f t="shared" si="6"/>
        <v>0</v>
      </c>
      <c r="AY11" s="306">
        <f t="shared" si="6"/>
        <v>0</v>
      </c>
      <c r="AZ11" s="306">
        <f t="shared" si="6"/>
        <v>0</v>
      </c>
      <c r="BA11" s="306">
        <f t="shared" si="6"/>
        <v>0</v>
      </c>
      <c r="BB11" s="306">
        <f t="shared" si="6"/>
        <v>0</v>
      </c>
      <c r="BC11" s="306">
        <f t="shared" si="6"/>
        <v>0</v>
      </c>
      <c r="BD11" s="306">
        <f t="shared" si="6"/>
        <v>0</v>
      </c>
      <c r="BE11" s="306">
        <f t="shared" si="6"/>
        <v>0</v>
      </c>
      <c r="BF11" s="306">
        <f t="shared" si="6"/>
        <v>29527</v>
      </c>
      <c r="BG11" s="306">
        <f t="shared" si="6"/>
        <v>0</v>
      </c>
      <c r="BH11" s="306">
        <f t="shared" si="6"/>
        <v>7713578.4500000002</v>
      </c>
      <c r="BI11" s="446">
        <f t="shared" ref="BI11:BI18" si="7">ROUND(BH11/E11,2)</f>
        <v>555.49</v>
      </c>
      <c r="BJ11" s="306">
        <f>BJ25+BJ31+BJ37+BJ43+BJ49+BJ55+BJ61+BJ67+BJ73+BJ79+BJ85+BJ91+BJ97+BJ103+BJ109+BJ115+BJ121+BJ127+BJ133+BJ139+BJ145+BJ151+BJ157</f>
        <v>5702126</v>
      </c>
      <c r="BK11" s="306">
        <f t="shared" ref="BK11:BP11" si="8">BK25+BK31+BK37+BK43+BK49+BK55+BK61+BK67+BK73+BK79+BK85+BK91+BK97+BK103+BK109+BK115+BK121+BK127+BK133+BK139+BK145+BK151+BK157</f>
        <v>1715287.45</v>
      </c>
      <c r="BL11" s="306">
        <f t="shared" si="8"/>
        <v>193778</v>
      </c>
      <c r="BM11" s="306">
        <f>BM25+BM31+BM37+BM43+BM49+BM55+BM61+BM67+BM73+BM79+BM85+BM91+BM97+BM103+BM109+BM115+BM121+BM127+BM133+BM139+BM145+BM151+BM157</f>
        <v>29527</v>
      </c>
      <c r="BN11" s="306">
        <f t="shared" si="8"/>
        <v>0</v>
      </c>
      <c r="BO11" s="306">
        <f t="shared" si="8"/>
        <v>72860</v>
      </c>
      <c r="BP11" s="306">
        <f t="shared" si="8"/>
        <v>7713578.4500000002</v>
      </c>
    </row>
    <row r="12" spans="1:71" s="111" customFormat="1" ht="22.5" customHeight="1">
      <c r="A12" s="846"/>
      <c r="B12" s="847"/>
      <c r="C12" s="847"/>
      <c r="D12" s="171" t="s">
        <v>191</v>
      </c>
      <c r="E12" s="628">
        <f>E26+E32+E38+E44+E50+E56+E62+E68+E74+E80+E86+E92+E98+E104+E110+E116+E122+E128+E134+E140+E146+E152+E158+E164</f>
        <v>12432</v>
      </c>
      <c r="F12" s="829"/>
      <c r="G12" s="163">
        <f t="shared" si="0"/>
        <v>570.12300000000005</v>
      </c>
      <c r="H12" s="163">
        <f>ROUND((X12+Y12)/E12,3)</f>
        <v>38.526000000000003</v>
      </c>
      <c r="I12" s="163">
        <f t="shared" si="1"/>
        <v>608.649</v>
      </c>
      <c r="J12" s="163">
        <f t="shared" ref="J12:J17" si="9">ROUND((AL12-AK12)/E12,3)</f>
        <v>4.2089999999999996</v>
      </c>
      <c r="K12" s="163">
        <f>ROUND((AM12+AN12+AO12+AP12+AQ12)/E12,3)</f>
        <v>0.28199999999999997</v>
      </c>
      <c r="L12" s="163">
        <f>ROUND((AS12+AT12+AU12+AV12+AW12)/E12,3)</f>
        <v>1.2410000000000001</v>
      </c>
      <c r="M12" s="163">
        <f t="shared" si="2"/>
        <v>0</v>
      </c>
      <c r="N12" s="164">
        <f>ROUND(BE12/E12,3)</f>
        <v>0</v>
      </c>
      <c r="O12" s="164">
        <f>ROUND(BF12/E12,3)</f>
        <v>9.7880000000000003</v>
      </c>
      <c r="P12" s="164">
        <f t="shared" ref="P12:P17" si="10">ROUND(AK12/E12,3)</f>
        <v>1.823</v>
      </c>
      <c r="Q12" s="163">
        <f t="shared" si="3"/>
        <v>625.99199999999996</v>
      </c>
      <c r="R12" s="163">
        <f>ROUND((Z12+AB12+AC12+AA12)/E12,2)</f>
        <v>19.79</v>
      </c>
      <c r="S12" s="163">
        <f t="shared" si="4"/>
        <v>0</v>
      </c>
      <c r="T12" s="626">
        <f t="shared" si="5"/>
        <v>645.78199999999993</v>
      </c>
      <c r="U12" s="840"/>
      <c r="V12" s="306">
        <f>V26+V32+V38+V50+V56+V62+V68+V74+V80+V86+V92+V98+V104+V110+V116+V122+V128+V134+V140+V152+V158</f>
        <v>5445126</v>
      </c>
      <c r="W12" s="306">
        <f t="shared" ref="W12:AQ12" si="11">W26+W32+W38+W50+W56+W62+W68+W74+W80+W86+W92+W98+W104+W110+W116+W122+W128+W134+W140+W152+W158</f>
        <v>1642639</v>
      </c>
      <c r="X12" s="306">
        <f t="shared" si="11"/>
        <v>367859</v>
      </c>
      <c r="Y12" s="306">
        <f t="shared" si="11"/>
        <v>111093</v>
      </c>
      <c r="Z12" s="306">
        <f t="shared" si="11"/>
        <v>114199</v>
      </c>
      <c r="AA12" s="306">
        <f t="shared" si="11"/>
        <v>31888</v>
      </c>
      <c r="AB12" s="306">
        <f t="shared" si="11"/>
        <v>58881</v>
      </c>
      <c r="AC12" s="306">
        <f t="shared" si="11"/>
        <v>41042</v>
      </c>
      <c r="AD12" s="306">
        <f t="shared" si="11"/>
        <v>37363</v>
      </c>
      <c r="AE12" s="306">
        <f t="shared" si="11"/>
        <v>0</v>
      </c>
      <c r="AF12" s="306">
        <f t="shared" si="11"/>
        <v>3830</v>
      </c>
      <c r="AG12" s="306">
        <f t="shared" si="11"/>
        <v>11130</v>
      </c>
      <c r="AH12" s="306">
        <f t="shared" si="11"/>
        <v>0</v>
      </c>
      <c r="AI12" s="306">
        <f t="shared" si="11"/>
        <v>0</v>
      </c>
      <c r="AJ12" s="306">
        <f t="shared" si="11"/>
        <v>0</v>
      </c>
      <c r="AK12" s="306">
        <f t="shared" si="11"/>
        <v>22668</v>
      </c>
      <c r="AL12" s="306">
        <f t="shared" si="11"/>
        <v>74991</v>
      </c>
      <c r="AM12" s="306">
        <f t="shared" si="11"/>
        <v>2270</v>
      </c>
      <c r="AN12" s="306">
        <f t="shared" si="11"/>
        <v>0</v>
      </c>
      <c r="AO12" s="306">
        <f t="shared" si="11"/>
        <v>0</v>
      </c>
      <c r="AP12" s="306">
        <f t="shared" si="11"/>
        <v>0</v>
      </c>
      <c r="AQ12" s="306">
        <f t="shared" si="11"/>
        <v>1240</v>
      </c>
      <c r="AR12" s="843"/>
      <c r="AS12" s="306">
        <f>AS26+AS32+AS38+AS50+AS56+AS62+AS68+AS74+AS80+AS86+AS92+AS98+AS104+AS110+AS116+AS122+AS128+AS134+AS140+AS152+AS158</f>
        <v>0</v>
      </c>
      <c r="AT12" s="306">
        <f t="shared" ref="AT12:BH12" si="12">AT26+AT32+AT38+AT50+AT56+AT62+AT68+AT74+AT80+AT86+AT92+AT98+AT104+AT110+AT116+AT122+AT128+AT134+AT140+AT152+AT158</f>
        <v>0</v>
      </c>
      <c r="AU12" s="306">
        <f t="shared" si="12"/>
        <v>15434</v>
      </c>
      <c r="AV12" s="306">
        <f t="shared" si="12"/>
        <v>0</v>
      </c>
      <c r="AW12" s="306">
        <f t="shared" si="12"/>
        <v>0</v>
      </c>
      <c r="AX12" s="306">
        <f t="shared" si="12"/>
        <v>0</v>
      </c>
      <c r="AY12" s="306">
        <f t="shared" si="12"/>
        <v>0</v>
      </c>
      <c r="AZ12" s="306">
        <f t="shared" si="12"/>
        <v>0</v>
      </c>
      <c r="BA12" s="306">
        <f t="shared" si="12"/>
        <v>0</v>
      </c>
      <c r="BB12" s="306">
        <f t="shared" si="12"/>
        <v>0</v>
      </c>
      <c r="BC12" s="306">
        <f t="shared" si="12"/>
        <v>0</v>
      </c>
      <c r="BD12" s="306">
        <f t="shared" si="12"/>
        <v>0</v>
      </c>
      <c r="BE12" s="306">
        <f t="shared" si="12"/>
        <v>0</v>
      </c>
      <c r="BF12" s="306">
        <f t="shared" si="12"/>
        <v>121686</v>
      </c>
      <c r="BG12" s="306">
        <f t="shared" si="12"/>
        <v>0</v>
      </c>
      <c r="BH12" s="306">
        <f t="shared" si="12"/>
        <v>8028348</v>
      </c>
      <c r="BI12" s="446">
        <f t="shared" si="7"/>
        <v>645.78</v>
      </c>
      <c r="BJ12" s="306">
        <f t="shared" ref="BJ12:BO12" si="13">BJ26+BJ32+BJ38+BJ50+BJ56+BJ62+BJ68+BJ74+BJ80+BJ86+BJ92+BJ98+BJ104+BJ110+BJ116+BJ122+BJ128+BJ134+BJ140+BJ152+BJ158</f>
        <v>5812985</v>
      </c>
      <c r="BK12" s="306">
        <f t="shared" si="13"/>
        <v>1753732</v>
      </c>
      <c r="BL12" s="306">
        <f t="shared" si="13"/>
        <v>246010</v>
      </c>
      <c r="BM12" s="306">
        <f t="shared" si="13"/>
        <v>121686</v>
      </c>
      <c r="BN12" s="306">
        <f t="shared" si="13"/>
        <v>0</v>
      </c>
      <c r="BO12" s="306">
        <f t="shared" si="13"/>
        <v>93935</v>
      </c>
      <c r="BP12" s="306">
        <f>BP26+BP32+BP38+BP50+BP56+BP62+BP68+BP74+BP80+BP86+BP92+BP98+BP104+BP110+BP116+BP122+BP128+BP134+BP140+BP152+BP158</f>
        <v>8028348</v>
      </c>
    </row>
    <row r="13" spans="1:71" s="111" customFormat="1" ht="22.5" customHeight="1">
      <c r="A13" s="846"/>
      <c r="B13" s="847"/>
      <c r="C13" s="847"/>
      <c r="D13" s="171" t="s">
        <v>192</v>
      </c>
      <c r="E13" s="628">
        <f>E27+E33+E39+E45+E51+E57+E63+E69+E75+E81+E87+E93+E99+E105+E111+E117+E123+E129+E135+E141+E147+E153+E159+E165</f>
        <v>7415</v>
      </c>
      <c r="F13" s="829"/>
      <c r="G13" s="163">
        <f t="shared" si="0"/>
        <v>527.78899999999999</v>
      </c>
      <c r="H13" s="163">
        <f>ROUND((X13+Y13)/E13,3)</f>
        <v>58.554000000000002</v>
      </c>
      <c r="I13" s="163">
        <f t="shared" si="1"/>
        <v>586.34299999999996</v>
      </c>
      <c r="J13" s="163">
        <f t="shared" si="9"/>
        <v>3.7850000000000001</v>
      </c>
      <c r="K13" s="163">
        <f>ROUND((AM13+AN13+AO13+AP13+AQ13)/E13,2)</f>
        <v>0.55000000000000004</v>
      </c>
      <c r="L13" s="163">
        <f>ROUND((AS13+AT13+AU13+AV13+AW13)/E13,2)</f>
        <v>0.04</v>
      </c>
      <c r="M13" s="163">
        <f t="shared" si="2"/>
        <v>0</v>
      </c>
      <c r="N13" s="164">
        <f>ROUND(BE13/E13,2)</f>
        <v>0</v>
      </c>
      <c r="O13" s="164">
        <f>ROUND(BF13/E13,2)</f>
        <v>21.42</v>
      </c>
      <c r="P13" s="164">
        <f t="shared" si="10"/>
        <v>1.601</v>
      </c>
      <c r="Q13" s="163">
        <f t="shared" si="3"/>
        <v>613.73899999999992</v>
      </c>
      <c r="R13" s="163">
        <f>ROUND((Z13+AB13+AC13+AA13)/E13,2)</f>
        <v>16.53</v>
      </c>
      <c r="S13" s="163">
        <f t="shared" si="4"/>
        <v>0</v>
      </c>
      <c r="T13" s="626">
        <f t="shared" si="5"/>
        <v>630.26899999999989</v>
      </c>
      <c r="U13" s="840"/>
      <c r="V13" s="306">
        <f>V27+V33+V39+V63+V75+V81+V87+V93+V99+V111+V123+V129+V135+V141+V147+V153+V159+V51</f>
        <v>3008869.07</v>
      </c>
      <c r="W13" s="306">
        <f t="shared" ref="W13:BH13" si="14">W27+W33+W39+W63+W75+W81+W87+W93+W99+W111+W123+W129+W135+W141+W147+W153+W159+W51</f>
        <v>904689</v>
      </c>
      <c r="X13" s="306">
        <f t="shared" si="14"/>
        <v>333472</v>
      </c>
      <c r="Y13" s="306">
        <f t="shared" si="14"/>
        <v>100709</v>
      </c>
      <c r="Z13" s="306">
        <f t="shared" si="14"/>
        <v>55720</v>
      </c>
      <c r="AA13" s="306">
        <f t="shared" si="14"/>
        <v>17238</v>
      </c>
      <c r="AB13" s="306">
        <f t="shared" si="14"/>
        <v>29328</v>
      </c>
      <c r="AC13" s="306">
        <f t="shared" si="14"/>
        <v>20302</v>
      </c>
      <c r="AD13" s="306">
        <f t="shared" si="14"/>
        <v>20152</v>
      </c>
      <c r="AE13" s="306">
        <f t="shared" si="14"/>
        <v>0</v>
      </c>
      <c r="AF13" s="306">
        <f t="shared" si="14"/>
        <v>1979</v>
      </c>
      <c r="AG13" s="306">
        <f t="shared" si="14"/>
        <v>5936</v>
      </c>
      <c r="AH13" s="306">
        <f t="shared" si="14"/>
        <v>0</v>
      </c>
      <c r="AI13" s="306">
        <f t="shared" si="14"/>
        <v>0</v>
      </c>
      <c r="AJ13" s="306">
        <f t="shared" si="14"/>
        <v>0</v>
      </c>
      <c r="AK13" s="306">
        <f t="shared" si="14"/>
        <v>11874</v>
      </c>
      <c r="AL13" s="306">
        <f t="shared" si="14"/>
        <v>39941</v>
      </c>
      <c r="AM13" s="306">
        <f t="shared" si="14"/>
        <v>2253</v>
      </c>
      <c r="AN13" s="306">
        <f t="shared" si="14"/>
        <v>0</v>
      </c>
      <c r="AO13" s="306">
        <f t="shared" si="14"/>
        <v>0</v>
      </c>
      <c r="AP13" s="306">
        <f t="shared" si="14"/>
        <v>600</v>
      </c>
      <c r="AQ13" s="306">
        <f t="shared" si="14"/>
        <v>1240</v>
      </c>
      <c r="AR13" s="843"/>
      <c r="AS13" s="306">
        <f t="shared" si="14"/>
        <v>0</v>
      </c>
      <c r="AT13" s="306">
        <f t="shared" si="14"/>
        <v>0</v>
      </c>
      <c r="AU13" s="306">
        <f t="shared" si="14"/>
        <v>299</v>
      </c>
      <c r="AV13" s="306">
        <f t="shared" si="14"/>
        <v>0</v>
      </c>
      <c r="AW13" s="306">
        <f t="shared" si="14"/>
        <v>0</v>
      </c>
      <c r="AX13" s="306">
        <f t="shared" si="14"/>
        <v>0</v>
      </c>
      <c r="AY13" s="306">
        <f t="shared" si="14"/>
        <v>0</v>
      </c>
      <c r="AZ13" s="306">
        <f t="shared" si="14"/>
        <v>0</v>
      </c>
      <c r="BA13" s="306">
        <f t="shared" si="14"/>
        <v>0</v>
      </c>
      <c r="BB13" s="306">
        <f t="shared" si="14"/>
        <v>0</v>
      </c>
      <c r="BC13" s="306">
        <f t="shared" si="14"/>
        <v>0</v>
      </c>
      <c r="BD13" s="306">
        <f t="shared" si="14"/>
        <v>0</v>
      </c>
      <c r="BE13" s="306">
        <f t="shared" si="14"/>
        <v>0</v>
      </c>
      <c r="BF13" s="306">
        <f t="shared" si="14"/>
        <v>158826</v>
      </c>
      <c r="BG13" s="306">
        <f t="shared" si="14"/>
        <v>0</v>
      </c>
      <c r="BH13" s="306">
        <f t="shared" si="14"/>
        <v>4673486.07</v>
      </c>
      <c r="BI13" s="446">
        <f t="shared" si="7"/>
        <v>630.27</v>
      </c>
      <c r="BJ13" s="306">
        <f t="shared" ref="BJ13:BP13" si="15">BJ27+BJ33+BJ39+BJ63+BJ75+BJ81+BJ87+BJ93+BJ99+BJ111+BJ123+BJ129+BJ135+BJ141+BJ147+BJ153+BJ159+BJ51</f>
        <v>3342341.07</v>
      </c>
      <c r="BK13" s="306">
        <f t="shared" si="15"/>
        <v>1005398</v>
      </c>
      <c r="BL13" s="306">
        <f t="shared" si="15"/>
        <v>122588</v>
      </c>
      <c r="BM13" s="306">
        <f t="shared" si="15"/>
        <v>158826</v>
      </c>
      <c r="BN13" s="306">
        <f t="shared" si="15"/>
        <v>0</v>
      </c>
      <c r="BO13" s="306">
        <f t="shared" si="15"/>
        <v>44333</v>
      </c>
      <c r="BP13" s="306">
        <f t="shared" si="15"/>
        <v>4673486.07</v>
      </c>
    </row>
    <row r="14" spans="1:71" s="111" customFormat="1" ht="20.25" customHeight="1">
      <c r="A14" s="846"/>
      <c r="B14" s="847"/>
      <c r="C14" s="847"/>
      <c r="D14" s="171" t="s">
        <v>193</v>
      </c>
      <c r="E14" s="628">
        <f>E28+E34+E40+E46+E52+E58+E64+E70+E76+E82+E88+E94+E100+E106+E112+E118+E124+E130+E136+E142+E148+E154+E160+E166</f>
        <v>3438</v>
      </c>
      <c r="F14" s="829"/>
      <c r="G14" s="163">
        <f t="shared" si="0"/>
        <v>455.82100000000003</v>
      </c>
      <c r="H14" s="163">
        <f>ROUND((X14+Y14)/E14,3)</f>
        <v>18.338000000000001</v>
      </c>
      <c r="I14" s="163">
        <f t="shared" si="1"/>
        <v>474.15900000000005</v>
      </c>
      <c r="J14" s="163">
        <f t="shared" si="9"/>
        <v>3.5259999999999998</v>
      </c>
      <c r="K14" s="163">
        <f>ROUND((AM14+AN14+AO14+AP14+AQ14)/E14,3)</f>
        <v>0</v>
      </c>
      <c r="L14" s="163">
        <f>ROUND((AS14+AT14+AU14+AV14+AW14)/E14,2)</f>
        <v>0</v>
      </c>
      <c r="M14" s="163">
        <f t="shared" si="2"/>
        <v>0</v>
      </c>
      <c r="N14" s="164">
        <f>ROUND(BE14/E14,2)</f>
        <v>0</v>
      </c>
      <c r="O14" s="164">
        <f>ROUND(BF14/E14,3)</f>
        <v>21.704000000000001</v>
      </c>
      <c r="P14" s="164">
        <f t="shared" si="10"/>
        <v>1.5029999999999999</v>
      </c>
      <c r="Q14" s="163">
        <f t="shared" si="3"/>
        <v>500.89200000000005</v>
      </c>
      <c r="R14" s="163">
        <f>ROUND((Z14+AB14+AC14+AA14)/E14,3)</f>
        <v>12.904999999999999</v>
      </c>
      <c r="S14" s="163">
        <f t="shared" si="4"/>
        <v>0</v>
      </c>
      <c r="T14" s="626">
        <f t="shared" si="5"/>
        <v>513.79700000000003</v>
      </c>
      <c r="U14" s="840"/>
      <c r="V14" s="306">
        <f>V28+V34+V40+V52+V58+V64+V70+V82+V94+V100+V106+V112+V124+V130+V154+V160</f>
        <v>1205369</v>
      </c>
      <c r="W14" s="306">
        <f t="shared" ref="W14:AQ14" si="16">W28+W34+W40+W52+W58+W64+W70+W82+W94+W100+W106+W112+W124+W130+W154+W160</f>
        <v>361744</v>
      </c>
      <c r="X14" s="306">
        <f t="shared" si="16"/>
        <v>48423</v>
      </c>
      <c r="Y14" s="306">
        <f t="shared" si="16"/>
        <v>14624</v>
      </c>
      <c r="Z14" s="306">
        <f t="shared" si="16"/>
        <v>22344</v>
      </c>
      <c r="AA14" s="306">
        <f t="shared" si="16"/>
        <v>2286</v>
      </c>
      <c r="AB14" s="306">
        <f t="shared" si="16"/>
        <v>11174</v>
      </c>
      <c r="AC14" s="306">
        <f t="shared" si="16"/>
        <v>8562</v>
      </c>
      <c r="AD14" s="306">
        <f t="shared" si="16"/>
        <v>8681</v>
      </c>
      <c r="AE14" s="306">
        <f t="shared" si="16"/>
        <v>0</v>
      </c>
      <c r="AF14" s="306">
        <f t="shared" si="16"/>
        <v>861</v>
      </c>
      <c r="AG14" s="306">
        <f t="shared" si="16"/>
        <v>2581</v>
      </c>
      <c r="AH14" s="306">
        <f t="shared" si="16"/>
        <v>0</v>
      </c>
      <c r="AI14" s="306">
        <f t="shared" si="16"/>
        <v>0</v>
      </c>
      <c r="AJ14" s="306">
        <f t="shared" si="16"/>
        <v>0</v>
      </c>
      <c r="AK14" s="306">
        <f t="shared" si="16"/>
        <v>5168</v>
      </c>
      <c r="AL14" s="306">
        <f t="shared" si="16"/>
        <v>17291</v>
      </c>
      <c r="AM14" s="306">
        <f t="shared" si="16"/>
        <v>0</v>
      </c>
      <c r="AN14" s="306">
        <f t="shared" si="16"/>
        <v>0</v>
      </c>
      <c r="AO14" s="306">
        <f t="shared" si="16"/>
        <v>0</v>
      </c>
      <c r="AP14" s="306">
        <f t="shared" si="16"/>
        <v>0</v>
      </c>
      <c r="AQ14" s="306">
        <f t="shared" si="16"/>
        <v>0</v>
      </c>
      <c r="AR14" s="843"/>
      <c r="AS14" s="306">
        <f>AS28+AS34+AS40+AS52+AS58+AS64+AS70+AS82+AS94+AS100+AS106+AS112+AS124+AS130+AS154+AS160</f>
        <v>0</v>
      </c>
      <c r="AT14" s="306">
        <f t="shared" ref="AT14:BH14" si="17">AT28+AT34+AT40+AT52+AT58+AT64+AT70+AT82+AT94+AT100+AT106+AT112+AT124+AT130+AT154+AT160</f>
        <v>0</v>
      </c>
      <c r="AU14" s="306">
        <f t="shared" si="17"/>
        <v>0</v>
      </c>
      <c r="AV14" s="306">
        <f t="shared" si="17"/>
        <v>0</v>
      </c>
      <c r="AW14" s="306">
        <f t="shared" si="17"/>
        <v>0</v>
      </c>
      <c r="AX14" s="306">
        <f t="shared" si="17"/>
        <v>0</v>
      </c>
      <c r="AY14" s="306">
        <f t="shared" si="17"/>
        <v>0</v>
      </c>
      <c r="AZ14" s="306">
        <f t="shared" si="17"/>
        <v>0</v>
      </c>
      <c r="BA14" s="306">
        <f t="shared" si="17"/>
        <v>0</v>
      </c>
      <c r="BB14" s="306">
        <f t="shared" si="17"/>
        <v>0</v>
      </c>
      <c r="BC14" s="306">
        <f t="shared" si="17"/>
        <v>0</v>
      </c>
      <c r="BD14" s="306">
        <f t="shared" si="17"/>
        <v>0</v>
      </c>
      <c r="BE14" s="306">
        <f t="shared" si="17"/>
        <v>0</v>
      </c>
      <c r="BF14" s="306">
        <f t="shared" si="17"/>
        <v>74619</v>
      </c>
      <c r="BG14" s="306">
        <f t="shared" si="17"/>
        <v>0</v>
      </c>
      <c r="BH14" s="306">
        <f t="shared" si="17"/>
        <v>1766436</v>
      </c>
      <c r="BI14" s="446">
        <f t="shared" si="7"/>
        <v>513.79999999999995</v>
      </c>
      <c r="BJ14" s="306">
        <f t="shared" ref="BJ14:BO14" si="18">BJ28+BJ34+BJ40+BJ52+BJ58+BJ64+BJ70+BJ82+BJ94+BJ100+BJ106+BJ112+BJ124+BJ130+BJ154+BJ160</f>
        <v>1253792</v>
      </c>
      <c r="BK14" s="306">
        <f t="shared" si="18"/>
        <v>376368</v>
      </c>
      <c r="BL14" s="306">
        <f t="shared" si="18"/>
        <v>44366</v>
      </c>
      <c r="BM14" s="306">
        <f>BM28+BM34+BM40+BM52+BM58+BM64+BM70+BM82+BM94+BM100+BM106+BM112+BM124+BM130+BM154+BM160</f>
        <v>74619</v>
      </c>
      <c r="BN14" s="306">
        <f t="shared" si="18"/>
        <v>0</v>
      </c>
      <c r="BO14" s="306">
        <f t="shared" si="18"/>
        <v>17291</v>
      </c>
      <c r="BP14" s="306">
        <f>BP28+BP34+BP40+BP52+BP58+BP64+BP70+BP82+BP94+BP100+BP106+BP112+BP124+BP130+BP154+BP160</f>
        <v>1766436</v>
      </c>
    </row>
    <row r="15" spans="1:71" s="111" customFormat="1" ht="29.25" customHeight="1">
      <c r="A15" s="847"/>
      <c r="B15" s="848"/>
      <c r="C15" s="848"/>
      <c r="D15" s="171" t="s">
        <v>218</v>
      </c>
      <c r="E15" s="628">
        <f>E167+E22</f>
        <v>1100</v>
      </c>
      <c r="F15" s="829"/>
      <c r="G15" s="163">
        <f t="shared" si="0"/>
        <v>370.565</v>
      </c>
      <c r="H15" s="163">
        <f>ROUND((X15+Y15)/E15,2)</f>
        <v>0</v>
      </c>
      <c r="I15" s="163">
        <f t="shared" si="1"/>
        <v>370.565</v>
      </c>
      <c r="J15" s="163">
        <f t="shared" si="9"/>
        <v>0</v>
      </c>
      <c r="K15" s="163">
        <f>ROUND((AM15+AN15+AO15+AP15+AQ15)/E15,3)</f>
        <v>0</v>
      </c>
      <c r="L15" s="163">
        <f>ROUND((AS15+AT15+AU15+AV15+AW15)/E15,2)</f>
        <v>0</v>
      </c>
      <c r="M15" s="163">
        <f t="shared" si="2"/>
        <v>0</v>
      </c>
      <c r="N15" s="164">
        <f>ROUND(BE15/E15,2)</f>
        <v>0</v>
      </c>
      <c r="O15" s="164">
        <f>ROUND(BF15/E15,3)</f>
        <v>0.5</v>
      </c>
      <c r="P15" s="164">
        <f t="shared" si="10"/>
        <v>0</v>
      </c>
      <c r="Q15" s="163">
        <f t="shared" si="3"/>
        <v>371.065</v>
      </c>
      <c r="R15" s="163">
        <f>ROUND((Z15+AB15+AC15+AA15)/E15,2)</f>
        <v>0</v>
      </c>
      <c r="S15" s="163">
        <f t="shared" si="4"/>
        <v>0</v>
      </c>
      <c r="T15" s="626">
        <f t="shared" si="5"/>
        <v>371.065</v>
      </c>
      <c r="U15" s="840"/>
      <c r="V15" s="306">
        <f>V22+V167</f>
        <v>313073</v>
      </c>
      <c r="W15" s="306">
        <f t="shared" ref="W15:BH15" si="19">W22+W167</f>
        <v>94548</v>
      </c>
      <c r="X15" s="306">
        <f t="shared" si="19"/>
        <v>0</v>
      </c>
      <c r="Y15" s="306">
        <f t="shared" si="19"/>
        <v>0</v>
      </c>
      <c r="Z15" s="306">
        <f t="shared" si="19"/>
        <v>0</v>
      </c>
      <c r="AA15" s="306">
        <f t="shared" si="19"/>
        <v>0</v>
      </c>
      <c r="AB15" s="306">
        <f t="shared" si="19"/>
        <v>0</v>
      </c>
      <c r="AC15" s="306">
        <f t="shared" si="19"/>
        <v>0</v>
      </c>
      <c r="AD15" s="306">
        <f t="shared" si="19"/>
        <v>0</v>
      </c>
      <c r="AE15" s="306">
        <f t="shared" si="19"/>
        <v>0</v>
      </c>
      <c r="AF15" s="306">
        <f t="shared" si="19"/>
        <v>0</v>
      </c>
      <c r="AG15" s="306">
        <f t="shared" si="19"/>
        <v>0</v>
      </c>
      <c r="AH15" s="306">
        <f t="shared" si="19"/>
        <v>0</v>
      </c>
      <c r="AI15" s="306">
        <f t="shared" si="19"/>
        <v>0</v>
      </c>
      <c r="AJ15" s="306">
        <f t="shared" si="19"/>
        <v>0</v>
      </c>
      <c r="AK15" s="306">
        <f t="shared" si="19"/>
        <v>0</v>
      </c>
      <c r="AL15" s="306">
        <f t="shared" si="19"/>
        <v>0</v>
      </c>
      <c r="AM15" s="306">
        <f t="shared" si="19"/>
        <v>0</v>
      </c>
      <c r="AN15" s="306">
        <f t="shared" si="19"/>
        <v>0</v>
      </c>
      <c r="AO15" s="306">
        <f t="shared" si="19"/>
        <v>0</v>
      </c>
      <c r="AP15" s="306">
        <f t="shared" si="19"/>
        <v>0</v>
      </c>
      <c r="AQ15" s="306">
        <f t="shared" si="19"/>
        <v>0</v>
      </c>
      <c r="AR15" s="843"/>
      <c r="AS15" s="306">
        <f t="shared" si="19"/>
        <v>0</v>
      </c>
      <c r="AT15" s="306">
        <f t="shared" si="19"/>
        <v>0</v>
      </c>
      <c r="AU15" s="306">
        <f t="shared" si="19"/>
        <v>0</v>
      </c>
      <c r="AV15" s="306">
        <f t="shared" si="19"/>
        <v>0</v>
      </c>
      <c r="AW15" s="306">
        <f t="shared" si="19"/>
        <v>0</v>
      </c>
      <c r="AX15" s="306">
        <f t="shared" si="19"/>
        <v>0</v>
      </c>
      <c r="AY15" s="306">
        <f t="shared" si="19"/>
        <v>0</v>
      </c>
      <c r="AZ15" s="306">
        <f t="shared" si="19"/>
        <v>0</v>
      </c>
      <c r="BA15" s="306">
        <f t="shared" si="19"/>
        <v>0</v>
      </c>
      <c r="BB15" s="306">
        <f t="shared" si="19"/>
        <v>0</v>
      </c>
      <c r="BC15" s="306">
        <f t="shared" si="19"/>
        <v>0</v>
      </c>
      <c r="BD15" s="306">
        <f t="shared" si="19"/>
        <v>0</v>
      </c>
      <c r="BE15" s="306">
        <f t="shared" si="19"/>
        <v>0</v>
      </c>
      <c r="BF15" s="306">
        <f t="shared" si="19"/>
        <v>550</v>
      </c>
      <c r="BG15" s="306">
        <f t="shared" si="19"/>
        <v>0</v>
      </c>
      <c r="BH15" s="306">
        <f t="shared" si="19"/>
        <v>408171</v>
      </c>
      <c r="BI15" s="446">
        <f>ROUND(BH15/E15,3)</f>
        <v>371.065</v>
      </c>
      <c r="BJ15" s="306">
        <f t="shared" ref="BJ15:BP15" si="20">BJ22+BJ167</f>
        <v>313073</v>
      </c>
      <c r="BK15" s="306">
        <f t="shared" si="20"/>
        <v>94548</v>
      </c>
      <c r="BL15" s="306">
        <f t="shared" si="20"/>
        <v>0</v>
      </c>
      <c r="BM15" s="306">
        <f t="shared" si="20"/>
        <v>550</v>
      </c>
      <c r="BN15" s="306">
        <f t="shared" si="20"/>
        <v>0</v>
      </c>
      <c r="BO15" s="306">
        <f t="shared" si="20"/>
        <v>0</v>
      </c>
      <c r="BP15" s="306">
        <f t="shared" si="20"/>
        <v>408171</v>
      </c>
    </row>
    <row r="16" spans="1:71" s="111" customFormat="1" ht="52.5" customHeight="1">
      <c r="A16" s="848"/>
      <c r="B16" s="172" t="s">
        <v>198</v>
      </c>
      <c r="C16" s="172" t="s">
        <v>196</v>
      </c>
      <c r="D16" s="171"/>
      <c r="E16" s="628">
        <f>E29+E35+E41+E47++E53+E59+E65+E71+E77+E83+E89+E95+E101+E107+E113+E119+E125+E131+E137+E143+E149+E155+E161+E168+E23</f>
        <v>144619</v>
      </c>
      <c r="F16" s="829"/>
      <c r="G16" s="163">
        <f>ROUND((V16+W16)/E16,3)</f>
        <v>238.87299999999999</v>
      </c>
      <c r="H16" s="163">
        <f>ROUND((X16+Y16)/E16,3)</f>
        <v>7.4450000000000003</v>
      </c>
      <c r="I16" s="163">
        <f t="shared" si="1"/>
        <v>246.31799999999998</v>
      </c>
      <c r="J16" s="163">
        <f t="shared" si="9"/>
        <v>1.413</v>
      </c>
      <c r="K16" s="163">
        <f>ROUND((AM16+AN16+AO16+AP16+AQ16)/E16,3)</f>
        <v>2.161</v>
      </c>
      <c r="L16" s="163">
        <f>ROUND((AS16+AT16+AU16+AV16+AW16)/E16,3)</f>
        <v>0.19600000000000001</v>
      </c>
      <c r="M16" s="163">
        <f>ROUND((AZ16+BA16)/E16,3)</f>
        <v>0</v>
      </c>
      <c r="N16" s="164">
        <f>ROUND(BE16/E16,3)</f>
        <v>0.32</v>
      </c>
      <c r="O16" s="164">
        <f>ROUND(BF16/E16,3)</f>
        <v>2.988</v>
      </c>
      <c r="P16" s="164">
        <f t="shared" si="10"/>
        <v>0.61099999999999999</v>
      </c>
      <c r="Q16" s="163">
        <f t="shared" si="3"/>
        <v>254.00699999999998</v>
      </c>
      <c r="R16" s="163">
        <f>ROUND((Z16+AB16+AC16+AA16)/E16,2)</f>
        <v>6.44</v>
      </c>
      <c r="S16" s="163">
        <f t="shared" si="4"/>
        <v>0</v>
      </c>
      <c r="T16" s="626">
        <f t="shared" si="5"/>
        <v>260.447</v>
      </c>
      <c r="U16" s="841"/>
      <c r="V16" s="306">
        <f>V23+V168+V29+V35+V41+V47+V53+V59+V65+V71+V77+V83+V89+V95+V101+V107+V113+V119+V125+V131+V137+V143+V149+V155+V161</f>
        <v>26480213.210000001</v>
      </c>
      <c r="W16" s="306">
        <f t="shared" ref="W16:BH16" si="21">W23+W168+W29+W35+W41+W47+W53+W59+W65+W71+W77+W83+W89+W95+W101+W107+W113+W119+W125+W131+W137+W143+W149+W155+W161</f>
        <v>8065360.3799999999</v>
      </c>
      <c r="X16" s="306">
        <f t="shared" si="21"/>
        <v>826921</v>
      </c>
      <c r="Y16" s="306">
        <f t="shared" si="21"/>
        <v>249730</v>
      </c>
      <c r="Z16" s="306">
        <f t="shared" si="21"/>
        <v>472963</v>
      </c>
      <c r="AA16" s="306">
        <f t="shared" si="21"/>
        <v>108341</v>
      </c>
      <c r="AB16" s="306">
        <f t="shared" si="21"/>
        <v>174924</v>
      </c>
      <c r="AC16" s="306">
        <f t="shared" si="21"/>
        <v>174556</v>
      </c>
      <c r="AD16" s="306">
        <f t="shared" si="21"/>
        <v>146198.81</v>
      </c>
      <c r="AE16" s="306">
        <f t="shared" si="21"/>
        <v>0</v>
      </c>
      <c r="AF16" s="306">
        <f t="shared" si="21"/>
        <v>15395</v>
      </c>
      <c r="AG16" s="306">
        <f t="shared" si="21"/>
        <v>42783</v>
      </c>
      <c r="AH16" s="306">
        <f t="shared" si="21"/>
        <v>0</v>
      </c>
      <c r="AI16" s="306">
        <f t="shared" si="21"/>
        <v>0</v>
      </c>
      <c r="AJ16" s="306">
        <f t="shared" si="21"/>
        <v>0</v>
      </c>
      <c r="AK16" s="306">
        <f t="shared" si="21"/>
        <v>88389.28</v>
      </c>
      <c r="AL16" s="306">
        <f t="shared" si="21"/>
        <v>292766.08999999997</v>
      </c>
      <c r="AM16" s="306">
        <f t="shared" si="21"/>
        <v>14120</v>
      </c>
      <c r="AN16" s="306">
        <f t="shared" si="21"/>
        <v>2500</v>
      </c>
      <c r="AO16" s="306">
        <f t="shared" si="21"/>
        <v>279965</v>
      </c>
      <c r="AP16" s="306">
        <f t="shared" si="21"/>
        <v>16000</v>
      </c>
      <c r="AQ16" s="306">
        <f t="shared" si="21"/>
        <v>0</v>
      </c>
      <c r="AR16" s="844"/>
      <c r="AS16" s="306">
        <f t="shared" si="21"/>
        <v>0</v>
      </c>
      <c r="AT16" s="306">
        <f t="shared" si="21"/>
        <v>0</v>
      </c>
      <c r="AU16" s="306">
        <f t="shared" si="21"/>
        <v>28413</v>
      </c>
      <c r="AV16" s="306">
        <f t="shared" si="21"/>
        <v>0</v>
      </c>
      <c r="AW16" s="306">
        <f t="shared" si="21"/>
        <v>0</v>
      </c>
      <c r="AX16" s="306">
        <f t="shared" si="21"/>
        <v>0</v>
      </c>
      <c r="AY16" s="306">
        <f t="shared" si="21"/>
        <v>0</v>
      </c>
      <c r="AZ16" s="306">
        <f t="shared" si="21"/>
        <v>0</v>
      </c>
      <c r="BA16" s="306">
        <f t="shared" si="21"/>
        <v>0</v>
      </c>
      <c r="BB16" s="306">
        <f t="shared" si="21"/>
        <v>0</v>
      </c>
      <c r="BC16" s="306">
        <f t="shared" si="21"/>
        <v>0</v>
      </c>
      <c r="BD16" s="306">
        <f t="shared" si="21"/>
        <v>0</v>
      </c>
      <c r="BE16" s="306">
        <f t="shared" si="21"/>
        <v>46227</v>
      </c>
      <c r="BF16" s="306">
        <f t="shared" si="21"/>
        <v>432174.15</v>
      </c>
      <c r="BG16" s="306">
        <f t="shared" si="21"/>
        <v>0</v>
      </c>
      <c r="BH16" s="306">
        <f t="shared" si="21"/>
        <v>37665173.829999998</v>
      </c>
      <c r="BI16" s="446">
        <f t="shared" si="7"/>
        <v>260.44</v>
      </c>
      <c r="BJ16" s="306">
        <f t="shared" ref="BJ16:BP16" si="22">BJ23+BJ29+BJ35+BJ41+BJ47+BJ53+BJ59+BJ65+BJ71+BJ77+BJ83+BJ89+BJ95+BJ101+BJ107+BJ113+BJ119+BJ125+BJ131+BJ137+BJ143+BJ149+BJ155+BJ161+BJ168</f>
        <v>27307134.210000001</v>
      </c>
      <c r="BK16" s="306">
        <f t="shared" si="22"/>
        <v>8315090.3799999999</v>
      </c>
      <c r="BL16" s="306">
        <f t="shared" si="22"/>
        <v>930784</v>
      </c>
      <c r="BM16" s="306">
        <f t="shared" si="22"/>
        <v>432174.15</v>
      </c>
      <c r="BN16" s="306">
        <f t="shared" si="22"/>
        <v>46227</v>
      </c>
      <c r="BO16" s="306">
        <f t="shared" si="22"/>
        <v>633764.09000000008</v>
      </c>
      <c r="BP16" s="306">
        <f t="shared" si="22"/>
        <v>37665173.829999998</v>
      </c>
    </row>
    <row r="17" spans="1:70" s="111" customFormat="1" ht="100.5" customHeight="1">
      <c r="A17" s="172" t="s">
        <v>359</v>
      </c>
      <c r="B17" s="172"/>
      <c r="C17" s="172" t="s">
        <v>196</v>
      </c>
      <c r="D17" s="193"/>
      <c r="E17" s="629">
        <f>E175</f>
        <v>8652</v>
      </c>
      <c r="F17" s="830"/>
      <c r="G17" s="194">
        <f t="shared" si="0"/>
        <v>95.364999999999995</v>
      </c>
      <c r="H17" s="163">
        <f>ROUND((X17+Y17)/E17,2)</f>
        <v>0</v>
      </c>
      <c r="I17" s="163">
        <f t="shared" ref="I17:I36" si="23">G17+H17</f>
        <v>95.364999999999995</v>
      </c>
      <c r="J17" s="163">
        <f t="shared" si="9"/>
        <v>0.97599999999999998</v>
      </c>
      <c r="K17" s="163">
        <f>ROUND((AM17+AN17+AO17+AP17+AQ17)/E17,2)</f>
        <v>0</v>
      </c>
      <c r="L17" s="163">
        <f>ROUND((AS17+AT17+AU17+AV17+AW17)/E17,2)</f>
        <v>0</v>
      </c>
      <c r="M17" s="163">
        <f t="shared" si="2"/>
        <v>0</v>
      </c>
      <c r="N17" s="164">
        <f>ROUND(BE17/E17,2)</f>
        <v>0</v>
      </c>
      <c r="O17" s="164">
        <f>ROUND(BF17/E17,2)</f>
        <v>1.54</v>
      </c>
      <c r="P17" s="164">
        <f t="shared" si="10"/>
        <v>0</v>
      </c>
      <c r="Q17" s="163">
        <f t="shared" si="3"/>
        <v>97.881</v>
      </c>
      <c r="R17" s="163">
        <f>ROUND((Z17+AB17+AC17+AA17)/E17,2)</f>
        <v>0</v>
      </c>
      <c r="S17" s="163">
        <f t="shared" si="4"/>
        <v>0</v>
      </c>
      <c r="T17" s="626">
        <f t="shared" si="5"/>
        <v>97.881</v>
      </c>
      <c r="U17" s="159"/>
      <c r="V17" s="306">
        <f>V175</f>
        <v>633714.64</v>
      </c>
      <c r="W17" s="306">
        <f t="shared" ref="W17:AQ17" si="24">W175</f>
        <v>191381.36</v>
      </c>
      <c r="X17" s="306">
        <f t="shared" si="24"/>
        <v>0</v>
      </c>
      <c r="Y17" s="306">
        <f t="shared" si="24"/>
        <v>0</v>
      </c>
      <c r="Z17" s="306">
        <f t="shared" si="24"/>
        <v>0</v>
      </c>
      <c r="AA17" s="306">
        <f>AA175</f>
        <v>0</v>
      </c>
      <c r="AB17" s="306">
        <f t="shared" si="24"/>
        <v>0</v>
      </c>
      <c r="AC17" s="306">
        <f t="shared" si="24"/>
        <v>0</v>
      </c>
      <c r="AD17" s="306">
        <f t="shared" si="24"/>
        <v>2534.3000000000002</v>
      </c>
      <c r="AE17" s="306">
        <f t="shared" si="24"/>
        <v>0</v>
      </c>
      <c r="AF17" s="306">
        <f t="shared" si="24"/>
        <v>2221.3000000000002</v>
      </c>
      <c r="AG17" s="306">
        <f t="shared" si="24"/>
        <v>0</v>
      </c>
      <c r="AH17" s="306">
        <f t="shared" si="24"/>
        <v>0</v>
      </c>
      <c r="AI17" s="306">
        <f t="shared" si="24"/>
        <v>0</v>
      </c>
      <c r="AJ17" s="306">
        <f t="shared" si="24"/>
        <v>3688.4</v>
      </c>
      <c r="AK17" s="306">
        <f t="shared" si="24"/>
        <v>0</v>
      </c>
      <c r="AL17" s="306">
        <f t="shared" si="24"/>
        <v>8444</v>
      </c>
      <c r="AM17" s="306">
        <f t="shared" si="24"/>
        <v>0</v>
      </c>
      <c r="AN17" s="306">
        <f t="shared" si="24"/>
        <v>0</v>
      </c>
      <c r="AO17" s="306">
        <f t="shared" si="24"/>
        <v>0</v>
      </c>
      <c r="AP17" s="306">
        <f t="shared" si="24"/>
        <v>0</v>
      </c>
      <c r="AQ17" s="306">
        <f t="shared" si="24"/>
        <v>0</v>
      </c>
      <c r="AR17" s="307"/>
      <c r="AS17" s="306">
        <f>AS175</f>
        <v>0</v>
      </c>
      <c r="AT17" s="306">
        <f t="shared" ref="AT17:BG17" si="25">AT175</f>
        <v>0</v>
      </c>
      <c r="AU17" s="306">
        <f t="shared" si="25"/>
        <v>0</v>
      </c>
      <c r="AV17" s="306">
        <f t="shared" si="25"/>
        <v>0</v>
      </c>
      <c r="AW17" s="306">
        <f t="shared" si="25"/>
        <v>0</v>
      </c>
      <c r="AX17" s="306">
        <f t="shared" si="25"/>
        <v>0</v>
      </c>
      <c r="AY17" s="306">
        <f t="shared" si="25"/>
        <v>0</v>
      </c>
      <c r="AZ17" s="306">
        <f t="shared" si="25"/>
        <v>0</v>
      </c>
      <c r="BA17" s="306">
        <f t="shared" si="25"/>
        <v>0</v>
      </c>
      <c r="BB17" s="306">
        <f t="shared" si="25"/>
        <v>0</v>
      </c>
      <c r="BC17" s="306">
        <f t="shared" si="25"/>
        <v>0</v>
      </c>
      <c r="BD17" s="306">
        <f t="shared" si="25"/>
        <v>0</v>
      </c>
      <c r="BE17" s="306">
        <f t="shared" si="25"/>
        <v>0</v>
      </c>
      <c r="BF17" s="306">
        <f t="shared" si="25"/>
        <v>13337</v>
      </c>
      <c r="BG17" s="306">
        <f t="shared" si="25"/>
        <v>0</v>
      </c>
      <c r="BH17" s="55">
        <f>V17+W17+X17+Y17+Z17+AA17+AB17+AC17+AL17+AM17+AN17+AO17+AP17+AQ17+AS17+AT17+AU17+AV17+AW17+AX17+AY17+AZ17+BA17+BB17+BC17+BD17+BE17+BF17</f>
        <v>846877</v>
      </c>
      <c r="BI17" s="446">
        <f t="shared" si="7"/>
        <v>97.88</v>
      </c>
      <c r="BJ17" s="55">
        <f>BJ175</f>
        <v>633714.64</v>
      </c>
      <c r="BK17" s="55">
        <f t="shared" ref="BK17:BP17" si="26">BK175</f>
        <v>191381.36</v>
      </c>
      <c r="BL17" s="55">
        <f t="shared" si="26"/>
        <v>0</v>
      </c>
      <c r="BM17" s="55">
        <f>BM175</f>
        <v>13337</v>
      </c>
      <c r="BN17" s="55">
        <f t="shared" si="26"/>
        <v>0</v>
      </c>
      <c r="BO17" s="55">
        <f t="shared" si="26"/>
        <v>8444</v>
      </c>
      <c r="BP17" s="55">
        <f t="shared" si="26"/>
        <v>846877</v>
      </c>
    </row>
    <row r="18" spans="1:70" s="111" customFormat="1" ht="33.75" customHeight="1">
      <c r="A18" s="197" t="s">
        <v>251</v>
      </c>
      <c r="B18" s="197"/>
      <c r="C18" s="197" t="s">
        <v>252</v>
      </c>
      <c r="D18" s="198"/>
      <c r="E18" s="630">
        <f>E30+E36+E42+E48+E54+E60+E66+E72+E78+E84+E90+E96+E102+E108+E114+E120+E126+E132+E138+E144+E150+E156+E162+E169+E176+E24</f>
        <v>229786</v>
      </c>
      <c r="F18" s="195"/>
      <c r="G18" s="163">
        <f>ROUND((V18+W18)/E18,3)</f>
        <v>241.726</v>
      </c>
      <c r="H18" s="163">
        <f>ROUND((X18+Y18)/E18,3)</f>
        <v>9.9359999999999999</v>
      </c>
      <c r="I18" s="163">
        <f t="shared" si="23"/>
        <v>251.66200000000001</v>
      </c>
      <c r="J18" s="163">
        <f>ROUND((AL18-AK18)/E18,3)</f>
        <v>1.546</v>
      </c>
      <c r="K18" s="163">
        <f>ROUND((AM18+AN18+AO18+AP18+AQ18)/E18,3)</f>
        <v>1.4019999999999999</v>
      </c>
      <c r="L18" s="163">
        <f>ROUND((AS18+AT18+AU18+AV18+AW18)/E18,3)</f>
        <v>0.192</v>
      </c>
      <c r="M18" s="163">
        <f>ROUND((AZ18+BA18)/E18,2)</f>
        <v>0</v>
      </c>
      <c r="N18" s="164">
        <f>ROUND(BE18/E18,2)</f>
        <v>0.2</v>
      </c>
      <c r="O18" s="164">
        <f>ROUND(BF18/E18,2)</f>
        <v>3.62</v>
      </c>
      <c r="P18" s="164">
        <f>ROUND(AK18/E18,3)</f>
        <v>0.65200000000000002</v>
      </c>
      <c r="Q18" s="163">
        <f>P18+O18+N18+M18+L18+K18+J18+I18</f>
        <v>259.274</v>
      </c>
      <c r="R18" s="163">
        <f>ROUND((Z18+AB18+AC18+AA18)/E18,2)</f>
        <v>6.69</v>
      </c>
      <c r="S18" s="163">
        <f>ROUND(AX18/E18,2)</f>
        <v>0</v>
      </c>
      <c r="T18" s="626">
        <f>Q18+R18+S18</f>
        <v>265.964</v>
      </c>
      <c r="U18" s="196"/>
      <c r="V18" s="244">
        <f>V24+V30+V36+V42+V48+V54+V60+V66+V72+V78+V84+V90+V96+V102+V108+V114+V120+V126+V132+V138+V144+V150+V156+V162+V169+V176</f>
        <v>42620455.919999994</v>
      </c>
      <c r="W18" s="244">
        <f t="shared" ref="W18:AQ18" si="27">W24+W30+W36+W42+W48+W54+W60+W66+W72+W78+W84+W90+W96+W102+W108+W114+W120+W126+W132+W138+W144+W150+W156+W162+W169+W176</f>
        <v>12924902.189999999</v>
      </c>
      <c r="X18" s="244">
        <f t="shared" si="27"/>
        <v>1753657</v>
      </c>
      <c r="Y18" s="244">
        <f t="shared" si="27"/>
        <v>529605</v>
      </c>
      <c r="Z18" s="244">
        <f t="shared" si="27"/>
        <v>754757</v>
      </c>
      <c r="AA18" s="244">
        <f t="shared" si="27"/>
        <v>185148</v>
      </c>
      <c r="AB18" s="244">
        <f t="shared" si="27"/>
        <v>320756</v>
      </c>
      <c r="AC18" s="244">
        <f t="shared" si="27"/>
        <v>276865</v>
      </c>
      <c r="AD18" s="244">
        <f t="shared" si="27"/>
        <v>250651.96999999997</v>
      </c>
      <c r="AE18" s="244">
        <f t="shared" si="27"/>
        <v>0</v>
      </c>
      <c r="AF18" s="244">
        <f t="shared" si="27"/>
        <v>27842.3</v>
      </c>
      <c r="AG18" s="244">
        <f t="shared" si="27"/>
        <v>72992</v>
      </c>
      <c r="AH18" s="244">
        <f t="shared" si="27"/>
        <v>0</v>
      </c>
      <c r="AI18" s="244">
        <f t="shared" si="27"/>
        <v>0</v>
      </c>
      <c r="AJ18" s="244">
        <f t="shared" si="27"/>
        <v>3688.4</v>
      </c>
      <c r="AK18" s="244">
        <f t="shared" si="27"/>
        <v>149823.14000000001</v>
      </c>
      <c r="AL18" s="244">
        <f t="shared" si="27"/>
        <v>504997.81000000006</v>
      </c>
      <c r="AM18" s="244">
        <f t="shared" si="27"/>
        <v>20090</v>
      </c>
      <c r="AN18" s="244">
        <f t="shared" si="27"/>
        <v>2500</v>
      </c>
      <c r="AO18" s="244">
        <f t="shared" si="27"/>
        <v>279965</v>
      </c>
      <c r="AP18" s="244">
        <f t="shared" si="27"/>
        <v>17200</v>
      </c>
      <c r="AQ18" s="244">
        <f t="shared" si="27"/>
        <v>2480</v>
      </c>
      <c r="AR18" s="244"/>
      <c r="AS18" s="244">
        <f>AS24+AS30+AS36+AS42+AS48+AS54+AS60+AS66+AS72+AS78+AS84+AS90+AS96+AS102+AS108+AS114+AS120+AS126+AS132+AS138+AS144+AS150+AS156+AS162+AS169+AS176</f>
        <v>0</v>
      </c>
      <c r="AT18" s="244">
        <f t="shared" ref="AT18:BH18" si="28">AT24+AT30+AT36+AT42+AT48+AT54+AT60+AT66+AT72+AT78+AT84+AT90+AT96+AT102+AT108+AT114+AT120+AT126+AT132+AT138+AT144+AT150+AT156+AT162+AT169+AT176</f>
        <v>0</v>
      </c>
      <c r="AU18" s="244">
        <f t="shared" si="28"/>
        <v>44226</v>
      </c>
      <c r="AV18" s="244">
        <f t="shared" si="28"/>
        <v>0</v>
      </c>
      <c r="AW18" s="244">
        <f t="shared" si="28"/>
        <v>0</v>
      </c>
      <c r="AX18" s="244">
        <f t="shared" si="28"/>
        <v>0</v>
      </c>
      <c r="AY18" s="244">
        <f t="shared" si="28"/>
        <v>0</v>
      </c>
      <c r="AZ18" s="244">
        <f t="shared" si="28"/>
        <v>0</v>
      </c>
      <c r="BA18" s="244">
        <f t="shared" si="28"/>
        <v>0</v>
      </c>
      <c r="BB18" s="244">
        <f t="shared" si="28"/>
        <v>0</v>
      </c>
      <c r="BC18" s="244">
        <f t="shared" si="28"/>
        <v>0</v>
      </c>
      <c r="BD18" s="244">
        <f t="shared" si="28"/>
        <v>0</v>
      </c>
      <c r="BE18" s="244">
        <f t="shared" si="28"/>
        <v>46227</v>
      </c>
      <c r="BF18" s="244">
        <f t="shared" si="28"/>
        <v>831299.14999999991</v>
      </c>
      <c r="BG18" s="244">
        <f t="shared" si="28"/>
        <v>0</v>
      </c>
      <c r="BH18" s="244">
        <f t="shared" si="28"/>
        <v>61115131.070000008</v>
      </c>
      <c r="BI18" s="446">
        <f t="shared" si="7"/>
        <v>265.97000000000003</v>
      </c>
      <c r="BJ18" s="244">
        <f>BJ24+BJ30+BJ36+BJ42+BJ48+BJ54+BJ60+BJ66+BJ72+BJ78+BJ84+BJ90+BJ96+BJ102+BJ108+BJ114+BJ120+BJ126+BJ132+BJ138+BJ144+BJ150+BJ156+BJ162+BJ169+BJ176</f>
        <v>44374112.919999994</v>
      </c>
      <c r="BK18" s="244">
        <f>BK24+BK30+BK36+BK42+BK48+BK54+BK60+BK66+BK72+BK78+BK84+BK90+BK96+BK102+BK108+BK114+BK120+BK126+BK132+BK138+BK144+BK150+BK156+BK162+BK169+BK176</f>
        <v>13454507.189999998</v>
      </c>
      <c r="BL18" s="244">
        <f>BL24+BL30+BL36+BL42+BL48+BL54+BL60+BL66+BL72+BL78+BL84+BL90+BL96+BL102+BL108+BL114+BL120+BL126+BL132+BL138+BL144+BL150+BL156+BL162+BL169+BL176</f>
        <v>1537526</v>
      </c>
      <c r="BM18" s="244">
        <f>BM24+BM30+BM36+BM42+BM48+BM54+BM60+BM66+BM72+BM78+BM84+BM90+BM96+BM102+BM108+BM114+BM120+BM126+BM132+BM138+BM144+BM150+BM156+BM162+BM169+BM176</f>
        <v>831299.14999999991</v>
      </c>
      <c r="BN18" s="90">
        <f t="shared" ref="BN18:BN23" si="29">BE18</f>
        <v>46227</v>
      </c>
      <c r="BO18" s="67">
        <f>AL18+AM18+AN18+AO18+AP18+AQ18+AS18+AT18+AU18+AV18+AW18+AX18+AY18+AZ18+BA18+BB18+BC18+BD18</f>
        <v>871458.81</v>
      </c>
      <c r="BP18" s="67">
        <f>BJ18+BK18+BL18+BM18+BO18+BN18</f>
        <v>61115131.069999993</v>
      </c>
    </row>
    <row r="19" spans="1:70" s="622" customFormat="1" ht="18.75" hidden="1" customHeight="1" outlineLevel="1">
      <c r="A19" s="857" t="s">
        <v>194</v>
      </c>
      <c r="B19" s="648" t="s">
        <v>197</v>
      </c>
      <c r="C19" s="648" t="s">
        <v>189</v>
      </c>
      <c r="D19" s="157" t="s">
        <v>190</v>
      </c>
      <c r="E19" s="313">
        <v>0</v>
      </c>
      <c r="F19" s="671" t="s">
        <v>367</v>
      </c>
      <c r="G19" s="8" t="e">
        <f t="shared" ref="G19:G35" si="30">ROUND((V19+W19)/E19,3)</f>
        <v>#DIV/0!</v>
      </c>
      <c r="H19" s="8" t="e">
        <f t="shared" ref="H19:H31" si="31">ROUND((X19+Y19)/E19,2)</f>
        <v>#DIV/0!</v>
      </c>
      <c r="I19" s="8" t="e">
        <f t="shared" ref="I19:I24" si="32">G19+H19</f>
        <v>#DIV/0!</v>
      </c>
      <c r="J19" s="8" t="e">
        <f>ROUND(AL19/E19,3)</f>
        <v>#DIV/0!</v>
      </c>
      <c r="K19" s="8" t="e">
        <f t="shared" ref="K19:K30" si="33">ROUND((AM19+AN19+AO19+AP19+AQ19)/E19,2)</f>
        <v>#DIV/0!</v>
      </c>
      <c r="L19" s="8" t="e">
        <f t="shared" ref="L19:L34" si="34">ROUND((AS19+AT19+AU19+AV19+AW19)/E19,2)</f>
        <v>#DIV/0!</v>
      </c>
      <c r="M19" s="8" t="e">
        <f t="shared" ref="M19:M50" si="35">ROUND((AZ19+BA19)/E19,2)</f>
        <v>#DIV/0!</v>
      </c>
      <c r="N19" s="11" t="e">
        <f t="shared" ref="N19:N34" si="36">ROUND(BE19/E19,2)</f>
        <v>#DIV/0!</v>
      </c>
      <c r="O19" s="11" t="e">
        <f t="shared" ref="O19:O30" si="37">ROUND(BF19/E19,2)</f>
        <v>#DIV/0!</v>
      </c>
      <c r="P19" s="11" t="e">
        <f t="shared" ref="P19:P24" si="38">ROUND(BG19/E19,2)</f>
        <v>#DIV/0!</v>
      </c>
      <c r="Q19" s="8" t="e">
        <f t="shared" ref="Q19:Q24" si="39">P19+O19+N19+M19+L19+K19+J19+I19</f>
        <v>#DIV/0!</v>
      </c>
      <c r="R19" s="8" t="e">
        <f t="shared" ref="R19:R30" si="40">ROUND((Z19+AB19+AC19+AA19)/E19,2)</f>
        <v>#DIV/0!</v>
      </c>
      <c r="S19" s="8" t="e">
        <f t="shared" ref="S19:S50" si="41">ROUND(AX19/E19,2)</f>
        <v>#DIV/0!</v>
      </c>
      <c r="T19" s="627" t="e">
        <f t="shared" ref="T19:T24" si="42">Q19+R19+S19</f>
        <v>#DIV/0!</v>
      </c>
      <c r="U19" s="671" t="s">
        <v>367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>
        <f>SUM(AD19:AK19)</f>
        <v>0</v>
      </c>
      <c r="AM19" s="15"/>
      <c r="AN19" s="15"/>
      <c r="AO19" s="15"/>
      <c r="AP19" s="15"/>
      <c r="AQ19" s="15"/>
      <c r="AR19" s="671" t="s">
        <v>367</v>
      </c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>
        <f t="shared" ref="BH19:BH24" si="43">V19+W19+X19+Y19+Z19+AB19+AC19+AL19+AM19+AN19+AO19+AP19+AS19+AT19+AU19+AV19+AW19+AX19+AY19+AZ19+BA19+BB19+BC19+BD19+BE19+BF19+BG19+AQ19+AA19</f>
        <v>0</v>
      </c>
      <c r="BI19" s="447" t="e">
        <f t="shared" ref="BI19:BI39" si="44">ROUND(BH19/E19,2)</f>
        <v>#DIV/0!</v>
      </c>
      <c r="BJ19" s="76">
        <f t="shared" ref="BJ19:BK23" si="45">V19+X19</f>
        <v>0</v>
      </c>
      <c r="BK19" s="76">
        <f t="shared" si="45"/>
        <v>0</v>
      </c>
      <c r="BL19" s="76">
        <f>Z19+AB19+AC19+AA19</f>
        <v>0</v>
      </c>
      <c r="BM19" s="76">
        <f>BF19</f>
        <v>0</v>
      </c>
      <c r="BN19" s="76">
        <f t="shared" si="29"/>
        <v>0</v>
      </c>
      <c r="BO19" s="76">
        <f>BG19+AL19+AM19+AN19+AO19+AP19+AQ19+AS19+AT19+AU19+AV19+AW19+AX19+AY19+AZ19+BA19+BB19+BC19+BD19</f>
        <v>0</v>
      </c>
      <c r="BP19" s="92">
        <f>SUM(BJ19:BO19)</f>
        <v>0</v>
      </c>
    </row>
    <row r="20" spans="1:70" s="622" customFormat="1" ht="21.75" hidden="1" customHeight="1" outlineLevel="1">
      <c r="A20" s="858"/>
      <c r="B20" s="789"/>
      <c r="C20" s="789"/>
      <c r="D20" s="157" t="s">
        <v>191</v>
      </c>
      <c r="E20" s="313">
        <v>0</v>
      </c>
      <c r="F20" s="829"/>
      <c r="G20" s="8" t="e">
        <f t="shared" si="30"/>
        <v>#DIV/0!</v>
      </c>
      <c r="H20" s="8" t="e">
        <f t="shared" si="31"/>
        <v>#DIV/0!</v>
      </c>
      <c r="I20" s="8" t="e">
        <f t="shared" si="32"/>
        <v>#DIV/0!</v>
      </c>
      <c r="J20" s="8" t="e">
        <f>ROUND(AL20/E20,3)</f>
        <v>#DIV/0!</v>
      </c>
      <c r="K20" s="8" t="e">
        <f t="shared" si="33"/>
        <v>#DIV/0!</v>
      </c>
      <c r="L20" s="8" t="e">
        <f t="shared" si="34"/>
        <v>#DIV/0!</v>
      </c>
      <c r="M20" s="8" t="e">
        <f t="shared" si="35"/>
        <v>#DIV/0!</v>
      </c>
      <c r="N20" s="11" t="e">
        <f t="shared" si="36"/>
        <v>#DIV/0!</v>
      </c>
      <c r="O20" s="11" t="e">
        <f t="shared" si="37"/>
        <v>#DIV/0!</v>
      </c>
      <c r="P20" s="11" t="e">
        <f t="shared" si="38"/>
        <v>#DIV/0!</v>
      </c>
      <c r="Q20" s="8" t="e">
        <f t="shared" si="39"/>
        <v>#DIV/0!</v>
      </c>
      <c r="R20" s="8" t="e">
        <f t="shared" si="40"/>
        <v>#DIV/0!</v>
      </c>
      <c r="S20" s="8" t="e">
        <f t="shared" si="41"/>
        <v>#DIV/0!</v>
      </c>
      <c r="T20" s="627" t="e">
        <f t="shared" si="42"/>
        <v>#DIV/0!</v>
      </c>
      <c r="U20" s="829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>
        <f>SUM(AD20:AK20)</f>
        <v>0</v>
      </c>
      <c r="AM20" s="15"/>
      <c r="AN20" s="15"/>
      <c r="AO20" s="15"/>
      <c r="AP20" s="15"/>
      <c r="AQ20" s="15"/>
      <c r="AR20" s="829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>
        <f t="shared" si="43"/>
        <v>0</v>
      </c>
      <c r="BI20" s="447" t="e">
        <f t="shared" si="44"/>
        <v>#DIV/0!</v>
      </c>
      <c r="BJ20" s="76">
        <f t="shared" si="45"/>
        <v>0</v>
      </c>
      <c r="BK20" s="76">
        <f t="shared" si="45"/>
        <v>0</v>
      </c>
      <c r="BL20" s="76">
        <f>Z20+AB20+AC20+AA20</f>
        <v>0</v>
      </c>
      <c r="BM20" s="76">
        <f>BF20</f>
        <v>0</v>
      </c>
      <c r="BN20" s="76">
        <f t="shared" si="29"/>
        <v>0</v>
      </c>
      <c r="BO20" s="76">
        <f>BG20+AL20+AM20+AN20+AO20+AP20+AQ20+AS20+AT20+AU20+AV20+AW20+AX20+AY20+AZ20+BA20+BB20+BC20+BD20</f>
        <v>0</v>
      </c>
      <c r="BP20" s="92">
        <f>SUM(BJ20:BO20)</f>
        <v>0</v>
      </c>
    </row>
    <row r="21" spans="1:70" s="622" customFormat="1" ht="20.25" hidden="1" customHeight="1" outlineLevel="1">
      <c r="A21" s="858"/>
      <c r="B21" s="789"/>
      <c r="C21" s="789"/>
      <c r="D21" s="157" t="s">
        <v>192</v>
      </c>
      <c r="E21" s="313">
        <v>0</v>
      </c>
      <c r="F21" s="829"/>
      <c r="G21" s="8" t="e">
        <f t="shared" si="30"/>
        <v>#DIV/0!</v>
      </c>
      <c r="H21" s="8" t="e">
        <f t="shared" si="31"/>
        <v>#DIV/0!</v>
      </c>
      <c r="I21" s="8" t="e">
        <f t="shared" si="32"/>
        <v>#DIV/0!</v>
      </c>
      <c r="J21" s="8" t="e">
        <f>ROUND(AL21/E21,3)</f>
        <v>#DIV/0!</v>
      </c>
      <c r="K21" s="8" t="e">
        <f t="shared" si="33"/>
        <v>#DIV/0!</v>
      </c>
      <c r="L21" s="8" t="e">
        <f t="shared" si="34"/>
        <v>#DIV/0!</v>
      </c>
      <c r="M21" s="8" t="e">
        <f t="shared" si="35"/>
        <v>#DIV/0!</v>
      </c>
      <c r="N21" s="11" t="e">
        <f t="shared" si="36"/>
        <v>#DIV/0!</v>
      </c>
      <c r="O21" s="11" t="e">
        <f t="shared" si="37"/>
        <v>#DIV/0!</v>
      </c>
      <c r="P21" s="11" t="e">
        <f t="shared" si="38"/>
        <v>#DIV/0!</v>
      </c>
      <c r="Q21" s="8" t="e">
        <f t="shared" si="39"/>
        <v>#DIV/0!</v>
      </c>
      <c r="R21" s="8" t="e">
        <f t="shared" si="40"/>
        <v>#DIV/0!</v>
      </c>
      <c r="S21" s="8" t="e">
        <f t="shared" si="41"/>
        <v>#DIV/0!</v>
      </c>
      <c r="T21" s="627" t="e">
        <f t="shared" si="42"/>
        <v>#DIV/0!</v>
      </c>
      <c r="U21" s="829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>
        <f>SUM(AD21:AK21)</f>
        <v>0</v>
      </c>
      <c r="AM21" s="15"/>
      <c r="AN21" s="15"/>
      <c r="AO21" s="15"/>
      <c r="AP21" s="15"/>
      <c r="AQ21" s="15"/>
      <c r="AR21" s="829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>
        <f t="shared" si="43"/>
        <v>0</v>
      </c>
      <c r="BI21" s="447" t="e">
        <f t="shared" si="44"/>
        <v>#DIV/0!</v>
      </c>
      <c r="BJ21" s="76">
        <f t="shared" si="45"/>
        <v>0</v>
      </c>
      <c r="BK21" s="76">
        <f t="shared" si="45"/>
        <v>0</v>
      </c>
      <c r="BL21" s="76">
        <f>Z21+AB21+AC21+AA21</f>
        <v>0</v>
      </c>
      <c r="BM21" s="76">
        <f>BF21</f>
        <v>0</v>
      </c>
      <c r="BN21" s="76">
        <f t="shared" si="29"/>
        <v>0</v>
      </c>
      <c r="BO21" s="76">
        <f>BG21+AL21+AM21+AN21+AO21+AP21+AQ21+AS21+AT21+AU21+AV21+AW21+AX21+AY21+AZ21+BA21+BB21+BC21+BD21</f>
        <v>0</v>
      </c>
      <c r="BP21" s="92">
        <f>SUM(BJ21:BO21)</f>
        <v>0</v>
      </c>
    </row>
    <row r="22" spans="1:70" s="622" customFormat="1" ht="33.75" customHeight="1" collapsed="1">
      <c r="A22" s="858"/>
      <c r="B22" s="780"/>
      <c r="C22" s="780"/>
      <c r="D22" s="157" t="s">
        <v>218</v>
      </c>
      <c r="E22" s="313">
        <v>1100</v>
      </c>
      <c r="F22" s="829"/>
      <c r="G22" s="8">
        <f t="shared" si="30"/>
        <v>370.565</v>
      </c>
      <c r="H22" s="8">
        <f t="shared" si="31"/>
        <v>0</v>
      </c>
      <c r="I22" s="450">
        <f t="shared" si="32"/>
        <v>370.565</v>
      </c>
      <c r="J22" s="451">
        <f t="shared" ref="J22:J85" si="46">ROUND((AL22-AK22)/E22,3)</f>
        <v>0</v>
      </c>
      <c r="K22" s="450">
        <f t="shared" si="33"/>
        <v>0</v>
      </c>
      <c r="L22" s="450">
        <f t="shared" si="34"/>
        <v>0</v>
      </c>
      <c r="M22" s="450">
        <f t="shared" si="35"/>
        <v>0</v>
      </c>
      <c r="N22" s="452">
        <f t="shared" si="36"/>
        <v>0</v>
      </c>
      <c r="O22" s="452">
        <f t="shared" si="37"/>
        <v>0.5</v>
      </c>
      <c r="P22" s="453">
        <f>ROUND(AK22/E22,3)</f>
        <v>0</v>
      </c>
      <c r="Q22" s="450">
        <f t="shared" si="39"/>
        <v>371.065</v>
      </c>
      <c r="R22" s="8">
        <f t="shared" si="40"/>
        <v>0</v>
      </c>
      <c r="S22" s="8">
        <f t="shared" si="41"/>
        <v>0</v>
      </c>
      <c r="T22" s="627">
        <f t="shared" si="42"/>
        <v>371.065</v>
      </c>
      <c r="U22" s="829"/>
      <c r="V22" s="15">
        <v>313073</v>
      </c>
      <c r="W22" s="15">
        <f>ROUND(V22*0.302,0)</f>
        <v>94548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>
        <f>SUM(AD22:AK22)</f>
        <v>0</v>
      </c>
      <c r="AM22" s="15"/>
      <c r="AN22" s="15"/>
      <c r="AO22" s="15"/>
      <c r="AP22" s="15"/>
      <c r="AQ22" s="15"/>
      <c r="AR22" s="829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>
        <v>550</v>
      </c>
      <c r="BG22" s="15"/>
      <c r="BH22" s="15">
        <f t="shared" si="43"/>
        <v>408171</v>
      </c>
      <c r="BI22" s="447">
        <f t="shared" si="44"/>
        <v>371.06</v>
      </c>
      <c r="BJ22" s="76">
        <f t="shared" si="45"/>
        <v>313073</v>
      </c>
      <c r="BK22" s="76">
        <f t="shared" si="45"/>
        <v>94548</v>
      </c>
      <c r="BL22" s="76">
        <f>Z22+AB22+AC22+AA22</f>
        <v>0</v>
      </c>
      <c r="BM22" s="76">
        <f>BF22</f>
        <v>550</v>
      </c>
      <c r="BN22" s="76">
        <f t="shared" si="29"/>
        <v>0</v>
      </c>
      <c r="BO22" s="76">
        <f>BG22+AL22+AM22+AN22+AO22+AP22+AQ22+AS22+AT22+AU22+AV22+AW22+AX22+AY22+AZ22+BA22+BB22+BC22+BD22</f>
        <v>0</v>
      </c>
      <c r="BP22" s="92">
        <f>SUM(BJ22:BO22)</f>
        <v>408171</v>
      </c>
    </row>
    <row r="23" spans="1:70" s="622" customFormat="1" ht="60">
      <c r="A23" s="859"/>
      <c r="B23" s="9" t="s">
        <v>198</v>
      </c>
      <c r="C23" s="9" t="s">
        <v>196</v>
      </c>
      <c r="D23" s="157"/>
      <c r="E23" s="313">
        <v>1055</v>
      </c>
      <c r="F23" s="830"/>
      <c r="G23" s="8">
        <f t="shared" si="30"/>
        <v>188.69399999999999</v>
      </c>
      <c r="H23" s="8">
        <f t="shared" si="31"/>
        <v>0</v>
      </c>
      <c r="I23" s="450">
        <f t="shared" si="32"/>
        <v>188.69399999999999</v>
      </c>
      <c r="J23" s="451">
        <f t="shared" si="46"/>
        <v>8.2000000000000003E-2</v>
      </c>
      <c r="K23" s="450">
        <f t="shared" si="33"/>
        <v>0</v>
      </c>
      <c r="L23" s="450">
        <f t="shared" si="34"/>
        <v>0</v>
      </c>
      <c r="M23" s="450">
        <f t="shared" si="35"/>
        <v>0</v>
      </c>
      <c r="N23" s="452">
        <f t="shared" si="36"/>
        <v>0</v>
      </c>
      <c r="O23" s="452">
        <f t="shared" si="37"/>
        <v>0.25</v>
      </c>
      <c r="P23" s="453">
        <f>ROUND(AK23/E23,3)</f>
        <v>0</v>
      </c>
      <c r="Q23" s="450">
        <f t="shared" si="39"/>
        <v>189.02599999999998</v>
      </c>
      <c r="R23" s="8">
        <f t="shared" si="40"/>
        <v>0</v>
      </c>
      <c r="S23" s="8">
        <f t="shared" si="41"/>
        <v>0</v>
      </c>
      <c r="T23" s="627">
        <f t="shared" si="42"/>
        <v>189.02599999999998</v>
      </c>
      <c r="U23" s="830"/>
      <c r="V23" s="15">
        <f>466005-313073</f>
        <v>152932</v>
      </c>
      <c r="W23" s="15">
        <f>140688-W22</f>
        <v>46140</v>
      </c>
      <c r="X23" s="15"/>
      <c r="Y23" s="15"/>
      <c r="Z23" s="15"/>
      <c r="AA23" s="15"/>
      <c r="AB23" s="15"/>
      <c r="AC23" s="15"/>
      <c r="AD23" s="15">
        <v>87</v>
      </c>
      <c r="AE23" s="15"/>
      <c r="AF23" s="15"/>
      <c r="AG23" s="15"/>
      <c r="AH23" s="15"/>
      <c r="AI23" s="15"/>
      <c r="AJ23" s="15"/>
      <c r="AK23" s="15"/>
      <c r="AL23" s="15">
        <f>SUM(AD23:AK23)</f>
        <v>87</v>
      </c>
      <c r="AM23" s="15"/>
      <c r="AN23" s="15"/>
      <c r="AO23" s="15"/>
      <c r="AP23" s="15"/>
      <c r="AQ23" s="15"/>
      <c r="AR23" s="830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>
        <v>264</v>
      </c>
      <c r="BG23" s="15"/>
      <c r="BH23" s="15">
        <f t="shared" si="43"/>
        <v>199423</v>
      </c>
      <c r="BI23" s="447">
        <f t="shared" si="44"/>
        <v>189.03</v>
      </c>
      <c r="BJ23" s="76">
        <f t="shared" si="45"/>
        <v>152932</v>
      </c>
      <c r="BK23" s="76">
        <f t="shared" si="45"/>
        <v>46140</v>
      </c>
      <c r="BL23" s="76">
        <f>Z23+AB23+AC23+AA23</f>
        <v>0</v>
      </c>
      <c r="BM23" s="76">
        <f>BF23</f>
        <v>264</v>
      </c>
      <c r="BN23" s="76">
        <f t="shared" si="29"/>
        <v>0</v>
      </c>
      <c r="BO23" s="76">
        <f>BG23+AL23+AM23+AN23+AO23+AP23+AQ23+AS23+AT23+AU23+AV23+AW23+AX23+AY23+AZ23+BA23+BB23+BC23+BD23</f>
        <v>87</v>
      </c>
      <c r="BP23" s="92">
        <f>SUM(BJ23:BO23)</f>
        <v>199423</v>
      </c>
      <c r="BQ23" s="623"/>
      <c r="BR23" s="623"/>
    </row>
    <row r="24" spans="1:70" ht="32.25" customHeight="1">
      <c r="A24" s="109" t="s">
        <v>251</v>
      </c>
      <c r="B24" s="29"/>
      <c r="C24" s="29" t="s">
        <v>252</v>
      </c>
      <c r="D24" s="158"/>
      <c r="E24" s="32">
        <v>3255</v>
      </c>
      <c r="F24" s="159"/>
      <c r="G24" s="30">
        <f t="shared" si="30"/>
        <v>186.38800000000001</v>
      </c>
      <c r="H24" s="30">
        <f t="shared" si="31"/>
        <v>0</v>
      </c>
      <c r="I24" s="30">
        <f t="shared" si="32"/>
        <v>186.38800000000001</v>
      </c>
      <c r="J24" s="30">
        <f>ROUND(AL24/E24,2)</f>
        <v>0.03</v>
      </c>
      <c r="K24" s="30">
        <f t="shared" si="33"/>
        <v>0</v>
      </c>
      <c r="L24" s="30">
        <f t="shared" si="34"/>
        <v>0</v>
      </c>
      <c r="M24" s="30">
        <f t="shared" si="35"/>
        <v>0</v>
      </c>
      <c r="N24" s="33">
        <f t="shared" si="36"/>
        <v>0</v>
      </c>
      <c r="O24" s="33">
        <f t="shared" si="37"/>
        <v>0.25</v>
      </c>
      <c r="P24" s="33">
        <f t="shared" si="38"/>
        <v>0</v>
      </c>
      <c r="Q24" s="30">
        <f t="shared" si="39"/>
        <v>186.66800000000001</v>
      </c>
      <c r="R24" s="30">
        <f t="shared" si="40"/>
        <v>0</v>
      </c>
      <c r="S24" s="30">
        <f t="shared" si="41"/>
        <v>0</v>
      </c>
      <c r="T24" s="627">
        <f t="shared" si="42"/>
        <v>186.66800000000001</v>
      </c>
      <c r="U24" s="159"/>
      <c r="V24" s="24">
        <f>SUM(V22:V23)</f>
        <v>466005</v>
      </c>
      <c r="W24" s="24">
        <f t="shared" ref="W24:AQ24" si="47">W19+W20+W21+W22+W23</f>
        <v>140688</v>
      </c>
      <c r="X24" s="24">
        <f t="shared" si="47"/>
        <v>0</v>
      </c>
      <c r="Y24" s="24">
        <f t="shared" si="47"/>
        <v>0</v>
      </c>
      <c r="Z24" s="24">
        <f t="shared" si="47"/>
        <v>0</v>
      </c>
      <c r="AA24" s="24">
        <f t="shared" si="47"/>
        <v>0</v>
      </c>
      <c r="AB24" s="24">
        <f t="shared" si="47"/>
        <v>0</v>
      </c>
      <c r="AC24" s="24">
        <f t="shared" si="47"/>
        <v>0</v>
      </c>
      <c r="AD24" s="24">
        <f t="shared" si="47"/>
        <v>87</v>
      </c>
      <c r="AE24" s="24">
        <f t="shared" si="47"/>
        <v>0</v>
      </c>
      <c r="AF24" s="24">
        <f t="shared" si="47"/>
        <v>0</v>
      </c>
      <c r="AG24" s="24">
        <f t="shared" si="47"/>
        <v>0</v>
      </c>
      <c r="AH24" s="24">
        <f t="shared" si="47"/>
        <v>0</v>
      </c>
      <c r="AI24" s="24">
        <f t="shared" si="47"/>
        <v>0</v>
      </c>
      <c r="AJ24" s="24">
        <f t="shared" si="47"/>
        <v>0</v>
      </c>
      <c r="AK24" s="24">
        <f t="shared" si="47"/>
        <v>0</v>
      </c>
      <c r="AL24" s="24">
        <f t="shared" si="47"/>
        <v>87</v>
      </c>
      <c r="AM24" s="24">
        <f t="shared" si="47"/>
        <v>0</v>
      </c>
      <c r="AN24" s="24">
        <f t="shared" si="47"/>
        <v>0</v>
      </c>
      <c r="AO24" s="24">
        <f t="shared" si="47"/>
        <v>0</v>
      </c>
      <c r="AP24" s="24">
        <f t="shared" si="47"/>
        <v>0</v>
      </c>
      <c r="AQ24" s="24">
        <f t="shared" si="47"/>
        <v>0</v>
      </c>
      <c r="AR24" s="307"/>
      <c r="AS24" s="24">
        <f t="shared" ref="AS24:BG24" si="48">AS19+AS20+AS21+AS22+AS23</f>
        <v>0</v>
      </c>
      <c r="AT24" s="24">
        <f t="shared" si="48"/>
        <v>0</v>
      </c>
      <c r="AU24" s="24">
        <f t="shared" si="48"/>
        <v>0</v>
      </c>
      <c r="AV24" s="24">
        <f t="shared" si="48"/>
        <v>0</v>
      </c>
      <c r="AW24" s="24">
        <f t="shared" si="48"/>
        <v>0</v>
      </c>
      <c r="AX24" s="24">
        <f t="shared" si="48"/>
        <v>0</v>
      </c>
      <c r="AY24" s="24">
        <f t="shared" si="48"/>
        <v>0</v>
      </c>
      <c r="AZ24" s="24">
        <f t="shared" si="48"/>
        <v>0</v>
      </c>
      <c r="BA24" s="24">
        <f t="shared" si="48"/>
        <v>0</v>
      </c>
      <c r="BB24" s="24">
        <f t="shared" si="48"/>
        <v>0</v>
      </c>
      <c r="BC24" s="24">
        <f t="shared" si="48"/>
        <v>0</v>
      </c>
      <c r="BD24" s="24">
        <f t="shared" si="48"/>
        <v>0</v>
      </c>
      <c r="BE24" s="24">
        <f t="shared" si="48"/>
        <v>0</v>
      </c>
      <c r="BF24" s="24">
        <f t="shared" si="48"/>
        <v>814</v>
      </c>
      <c r="BG24" s="24">
        <f t="shared" si="48"/>
        <v>0</v>
      </c>
      <c r="BH24" s="24">
        <f t="shared" si="43"/>
        <v>607594</v>
      </c>
      <c r="BI24" s="447">
        <f>ROUND(BH24/E24,3)</f>
        <v>186.66499999999999</v>
      </c>
      <c r="BJ24" s="24">
        <f t="shared" ref="BJ24:BP24" si="49">BJ19+BJ20+BJ21+BJ22+BJ23</f>
        <v>466005</v>
      </c>
      <c r="BK24" s="24">
        <f t="shared" si="49"/>
        <v>140688</v>
      </c>
      <c r="BL24" s="24">
        <f t="shared" si="49"/>
        <v>0</v>
      </c>
      <c r="BM24" s="24">
        <f t="shared" si="49"/>
        <v>814</v>
      </c>
      <c r="BN24" s="24">
        <f t="shared" si="49"/>
        <v>0</v>
      </c>
      <c r="BO24" s="24">
        <f t="shared" si="49"/>
        <v>87</v>
      </c>
      <c r="BP24" s="24">
        <f t="shared" si="49"/>
        <v>607594</v>
      </c>
    </row>
    <row r="25" spans="1:70" s="622" customFormat="1" ht="18.75" customHeight="1">
      <c r="A25" s="857" t="s">
        <v>194</v>
      </c>
      <c r="B25" s="648" t="s">
        <v>197</v>
      </c>
      <c r="C25" s="648" t="s">
        <v>189</v>
      </c>
      <c r="D25" s="157" t="s">
        <v>190</v>
      </c>
      <c r="E25" s="313">
        <v>514</v>
      </c>
      <c r="F25" s="671" t="s">
        <v>69</v>
      </c>
      <c r="G25" s="8">
        <f t="shared" si="30"/>
        <v>664.53499999999997</v>
      </c>
      <c r="H25" s="8">
        <f t="shared" si="31"/>
        <v>0</v>
      </c>
      <c r="I25" s="8">
        <f t="shared" si="23"/>
        <v>664.53499999999997</v>
      </c>
      <c r="J25" s="451">
        <f t="shared" si="46"/>
        <v>1.4470000000000001</v>
      </c>
      <c r="K25" s="8">
        <f t="shared" si="33"/>
        <v>0</v>
      </c>
      <c r="L25" s="8">
        <f t="shared" si="34"/>
        <v>0</v>
      </c>
      <c r="M25" s="8">
        <f t="shared" si="35"/>
        <v>0</v>
      </c>
      <c r="N25" s="11">
        <f t="shared" si="36"/>
        <v>0</v>
      </c>
      <c r="O25" s="11">
        <f t="shared" si="37"/>
        <v>2</v>
      </c>
      <c r="P25" s="453">
        <f t="shared" ref="P25:P88" si="50">ROUND(AK25/E25,3)</f>
        <v>0.72599999999999998</v>
      </c>
      <c r="Q25" s="8">
        <f t="shared" si="3"/>
        <v>668.70799999999997</v>
      </c>
      <c r="R25" s="8">
        <f t="shared" si="40"/>
        <v>0</v>
      </c>
      <c r="S25" s="8">
        <f t="shared" si="41"/>
        <v>0</v>
      </c>
      <c r="T25" s="627">
        <f t="shared" ref="T25:T54" si="51">Q25+R25+S25</f>
        <v>668.70799999999997</v>
      </c>
      <c r="U25" s="671" t="s">
        <v>69</v>
      </c>
      <c r="V25" s="15">
        <v>262343</v>
      </c>
      <c r="W25" s="15">
        <f>ROUND(V25*0.302,0)</f>
        <v>79228</v>
      </c>
      <c r="X25" s="15"/>
      <c r="Y25" s="15"/>
      <c r="Z25" s="15"/>
      <c r="AA25" s="15"/>
      <c r="AB25" s="15"/>
      <c r="AC25" s="15"/>
      <c r="AD25" s="15">
        <v>620</v>
      </c>
      <c r="AE25" s="15"/>
      <c r="AF25" s="15">
        <v>31</v>
      </c>
      <c r="AG25" s="15">
        <v>93</v>
      </c>
      <c r="AH25" s="15"/>
      <c r="AI25" s="15"/>
      <c r="AJ25" s="15"/>
      <c r="AK25" s="15">
        <v>373</v>
      </c>
      <c r="AL25" s="15">
        <f>SUM(AD25:AK25)</f>
        <v>1117</v>
      </c>
      <c r="AM25" s="15"/>
      <c r="AN25" s="15"/>
      <c r="AO25" s="15"/>
      <c r="AP25" s="15"/>
      <c r="AQ25" s="15"/>
      <c r="AR25" s="705" t="s">
        <v>69</v>
      </c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>
        <f>ROUND(E25*2,0)</f>
        <v>1028</v>
      </c>
      <c r="BG25" s="15"/>
      <c r="BH25" s="15">
        <f t="shared" ref="BH25:BH37" si="52">V25+W25+X25+Y25+Z25+AB25+AC25+AL25+AM25+AN25+AO25+AP25+AS25+AT25+AU25+AV25+AW25+AX25+AY25+AZ25+BA25+BB25+BC25+BD25+BE25+BF25+BG25+AQ25+AA25</f>
        <v>343716</v>
      </c>
      <c r="BI25" s="447">
        <f t="shared" si="44"/>
        <v>668.71</v>
      </c>
      <c r="BJ25" s="76">
        <f t="shared" ref="BJ25:BK29" si="53">V25+X25</f>
        <v>262343</v>
      </c>
      <c r="BK25" s="76">
        <f t="shared" si="53"/>
        <v>79228</v>
      </c>
      <c r="BL25" s="76">
        <f>Z25+AB25+AC25+AA25</f>
        <v>0</v>
      </c>
      <c r="BM25" s="76">
        <f>BF25</f>
        <v>1028</v>
      </c>
      <c r="BN25" s="76">
        <f>BE25</f>
        <v>0</v>
      </c>
      <c r="BO25" s="76">
        <f>BG25+AL25+AM25+AN25+AO25+AP25+AQ25+AS25+AT25+AU25+AV25+AW25+AX25+AY25+AZ25+BA25+BB25+BC25+BD25</f>
        <v>1117</v>
      </c>
      <c r="BP25" s="92">
        <f>SUM(BJ25:BO25)</f>
        <v>343716</v>
      </c>
    </row>
    <row r="26" spans="1:70" s="622" customFormat="1" ht="21.75" customHeight="1">
      <c r="A26" s="858"/>
      <c r="B26" s="849"/>
      <c r="C26" s="849"/>
      <c r="D26" s="157" t="s">
        <v>191</v>
      </c>
      <c r="E26" s="313">
        <v>332</v>
      </c>
      <c r="F26" s="829"/>
      <c r="G26" s="8">
        <f t="shared" si="30"/>
        <v>496.43099999999998</v>
      </c>
      <c r="H26" s="8">
        <f t="shared" si="31"/>
        <v>0</v>
      </c>
      <c r="I26" s="8">
        <f t="shared" si="23"/>
        <v>496.43099999999998</v>
      </c>
      <c r="J26" s="451">
        <f t="shared" si="46"/>
        <v>2.464</v>
      </c>
      <c r="K26" s="8">
        <f t="shared" si="33"/>
        <v>0</v>
      </c>
      <c r="L26" s="8">
        <f t="shared" si="34"/>
        <v>0</v>
      </c>
      <c r="M26" s="8">
        <f t="shared" si="35"/>
        <v>0</v>
      </c>
      <c r="N26" s="11">
        <f t="shared" si="36"/>
        <v>0</v>
      </c>
      <c r="O26" s="11">
        <f t="shared" si="37"/>
        <v>9</v>
      </c>
      <c r="P26" s="453">
        <f t="shared" si="50"/>
        <v>0.61399999999999999</v>
      </c>
      <c r="Q26" s="8">
        <f t="shared" si="3"/>
        <v>508.50899999999996</v>
      </c>
      <c r="R26" s="8">
        <f t="shared" si="40"/>
        <v>0</v>
      </c>
      <c r="S26" s="8">
        <f t="shared" si="41"/>
        <v>0</v>
      </c>
      <c r="T26" s="627">
        <f t="shared" si="51"/>
        <v>508.50899999999996</v>
      </c>
      <c r="U26" s="829"/>
      <c r="V26" s="15">
        <v>126586</v>
      </c>
      <c r="W26" s="15">
        <f>ROUND(V26*0.302,0)</f>
        <v>38229</v>
      </c>
      <c r="X26" s="15"/>
      <c r="Y26" s="15"/>
      <c r="Z26" s="15"/>
      <c r="AA26" s="15"/>
      <c r="AB26" s="15"/>
      <c r="AC26" s="15"/>
      <c r="AD26" s="15">
        <v>682</v>
      </c>
      <c r="AE26" s="15"/>
      <c r="AF26" s="15">
        <v>34</v>
      </c>
      <c r="AG26" s="15">
        <v>102</v>
      </c>
      <c r="AH26" s="15"/>
      <c r="AI26" s="15"/>
      <c r="AJ26" s="15"/>
      <c r="AK26" s="15">
        <v>204</v>
      </c>
      <c r="AL26" s="15">
        <f>SUM(AD26:AK26)</f>
        <v>1022</v>
      </c>
      <c r="AM26" s="15"/>
      <c r="AN26" s="15"/>
      <c r="AO26" s="15"/>
      <c r="AP26" s="15"/>
      <c r="AQ26" s="15"/>
      <c r="AR26" s="827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>
        <f>ROUND(E26*9,0)</f>
        <v>2988</v>
      </c>
      <c r="BG26" s="15"/>
      <c r="BH26" s="15">
        <f t="shared" si="52"/>
        <v>168825</v>
      </c>
      <c r="BI26" s="447">
        <f t="shared" si="44"/>
        <v>508.51</v>
      </c>
      <c r="BJ26" s="76">
        <f t="shared" si="53"/>
        <v>126586</v>
      </c>
      <c r="BK26" s="76">
        <f t="shared" si="53"/>
        <v>38229</v>
      </c>
      <c r="BL26" s="76">
        <f>Z26+AB26+AC26+AA26</f>
        <v>0</v>
      </c>
      <c r="BM26" s="76">
        <f>BF26</f>
        <v>2988</v>
      </c>
      <c r="BN26" s="76">
        <f>BE26</f>
        <v>0</v>
      </c>
      <c r="BO26" s="76">
        <f>BG26+AL26+AM26+AN26+AO26+AP26+AQ26+AS26+AT26+AU26+AV26+AW26+AX26+AY26+AZ26+BA26+BB26+BC26+BD26</f>
        <v>1022</v>
      </c>
      <c r="BP26" s="92">
        <f>SUM(BJ26:BO26)</f>
        <v>168825</v>
      </c>
    </row>
    <row r="27" spans="1:70" s="622" customFormat="1" ht="20.25" customHeight="1">
      <c r="A27" s="858"/>
      <c r="B27" s="849"/>
      <c r="C27" s="849"/>
      <c r="D27" s="157" t="s">
        <v>192</v>
      </c>
      <c r="E27" s="313">
        <v>520</v>
      </c>
      <c r="F27" s="829"/>
      <c r="G27" s="8">
        <f t="shared" si="30"/>
        <v>496.43099999999998</v>
      </c>
      <c r="H27" s="8">
        <f t="shared" si="31"/>
        <v>0</v>
      </c>
      <c r="I27" s="8">
        <f t="shared" si="23"/>
        <v>496.43099999999998</v>
      </c>
      <c r="J27" s="451">
        <f t="shared" si="46"/>
        <v>1.694</v>
      </c>
      <c r="K27" s="8">
        <f t="shared" si="33"/>
        <v>0</v>
      </c>
      <c r="L27" s="8">
        <f t="shared" si="34"/>
        <v>0</v>
      </c>
      <c r="M27" s="8">
        <f t="shared" si="35"/>
        <v>0</v>
      </c>
      <c r="N27" s="11">
        <f t="shared" si="36"/>
        <v>0</v>
      </c>
      <c r="O27" s="11">
        <f t="shared" si="37"/>
        <v>20</v>
      </c>
      <c r="P27" s="453">
        <f t="shared" si="50"/>
        <v>0.42499999999999999</v>
      </c>
      <c r="Q27" s="8">
        <f t="shared" si="3"/>
        <v>518.54999999999995</v>
      </c>
      <c r="R27" s="8">
        <f t="shared" si="40"/>
        <v>0</v>
      </c>
      <c r="S27" s="8">
        <f t="shared" si="41"/>
        <v>0</v>
      </c>
      <c r="T27" s="627">
        <f t="shared" si="51"/>
        <v>518.54999999999995</v>
      </c>
      <c r="U27" s="829"/>
      <c r="V27" s="15">
        <v>198267</v>
      </c>
      <c r="W27" s="15">
        <f>ROUND(V27*0.302,0)</f>
        <v>59877</v>
      </c>
      <c r="X27" s="15"/>
      <c r="Y27" s="15"/>
      <c r="Z27" s="15"/>
      <c r="AA27" s="15"/>
      <c r="AB27" s="15"/>
      <c r="AC27" s="15"/>
      <c r="AD27" s="15">
        <v>735</v>
      </c>
      <c r="AE27" s="15"/>
      <c r="AF27" s="15">
        <v>36</v>
      </c>
      <c r="AG27" s="15">
        <v>110</v>
      </c>
      <c r="AH27" s="15"/>
      <c r="AI27" s="15"/>
      <c r="AJ27" s="15"/>
      <c r="AK27" s="15">
        <v>221</v>
      </c>
      <c r="AL27" s="15">
        <f>SUM(AD27:AK27)</f>
        <v>1102</v>
      </c>
      <c r="AM27" s="15"/>
      <c r="AN27" s="15"/>
      <c r="AO27" s="15"/>
      <c r="AP27" s="15"/>
      <c r="AQ27" s="15"/>
      <c r="AR27" s="827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>
        <f>ROUND(E27*20,0)</f>
        <v>10400</v>
      </c>
      <c r="BG27" s="15"/>
      <c r="BH27" s="15">
        <f t="shared" si="52"/>
        <v>269646</v>
      </c>
      <c r="BI27" s="447">
        <f t="shared" si="44"/>
        <v>518.54999999999995</v>
      </c>
      <c r="BJ27" s="76">
        <f t="shared" si="53"/>
        <v>198267</v>
      </c>
      <c r="BK27" s="76">
        <f t="shared" si="53"/>
        <v>59877</v>
      </c>
      <c r="BL27" s="76">
        <f>Z27+AB27+AC27+AA27</f>
        <v>0</v>
      </c>
      <c r="BM27" s="76">
        <f>BF27</f>
        <v>10400</v>
      </c>
      <c r="BN27" s="76">
        <f>BE27</f>
        <v>0</v>
      </c>
      <c r="BO27" s="76">
        <f>BG27+AL27+AM27+AN27+AO27+AP27+AQ27+AS27+AT27+AU27+AV27+AW27+AX27+AY27+AZ27+BA27+BB27+BC27+BD27</f>
        <v>1102</v>
      </c>
      <c r="BP27" s="92">
        <f>SUM(BJ27:BO27)</f>
        <v>269646</v>
      </c>
    </row>
    <row r="28" spans="1:70" s="622" customFormat="1" ht="24" customHeight="1">
      <c r="A28" s="858"/>
      <c r="B28" s="850"/>
      <c r="C28" s="850"/>
      <c r="D28" s="157" t="s">
        <v>193</v>
      </c>
      <c r="E28" s="313">
        <v>150</v>
      </c>
      <c r="F28" s="829"/>
      <c r="G28" s="8">
        <f t="shared" si="30"/>
        <v>496.42700000000002</v>
      </c>
      <c r="H28" s="8">
        <f t="shared" si="31"/>
        <v>0</v>
      </c>
      <c r="I28" s="8">
        <f t="shared" si="23"/>
        <v>496.42700000000002</v>
      </c>
      <c r="J28" s="451">
        <f t="shared" si="46"/>
        <v>2.6869999999999998</v>
      </c>
      <c r="K28" s="8">
        <f t="shared" si="33"/>
        <v>0</v>
      </c>
      <c r="L28" s="8">
        <f t="shared" si="34"/>
        <v>0</v>
      </c>
      <c r="M28" s="8">
        <f t="shared" si="35"/>
        <v>0</v>
      </c>
      <c r="N28" s="11">
        <f t="shared" si="36"/>
        <v>0</v>
      </c>
      <c r="O28" s="11">
        <f t="shared" si="37"/>
        <v>20</v>
      </c>
      <c r="P28" s="453">
        <f t="shared" si="50"/>
        <v>0.67300000000000004</v>
      </c>
      <c r="Q28" s="8">
        <f t="shared" si="3"/>
        <v>519.78700000000003</v>
      </c>
      <c r="R28" s="8">
        <f t="shared" si="40"/>
        <v>0</v>
      </c>
      <c r="S28" s="8">
        <f t="shared" si="41"/>
        <v>0</v>
      </c>
      <c r="T28" s="627">
        <f t="shared" si="51"/>
        <v>519.78700000000003</v>
      </c>
      <c r="U28" s="829"/>
      <c r="V28" s="15">
        <v>57192</v>
      </c>
      <c r="W28" s="15">
        <f>ROUND(V28*0.302,0)</f>
        <v>17272</v>
      </c>
      <c r="X28" s="15"/>
      <c r="Y28" s="15"/>
      <c r="Z28" s="15"/>
      <c r="AA28" s="15"/>
      <c r="AB28" s="15"/>
      <c r="AC28" s="15"/>
      <c r="AD28" s="15">
        <v>336</v>
      </c>
      <c r="AE28" s="15"/>
      <c r="AF28" s="15">
        <v>17</v>
      </c>
      <c r="AG28" s="15">
        <v>50</v>
      </c>
      <c r="AH28" s="15"/>
      <c r="AI28" s="15"/>
      <c r="AJ28" s="15"/>
      <c r="AK28" s="15">
        <v>101</v>
      </c>
      <c r="AL28" s="15">
        <f>SUM(AD28:AK28)</f>
        <v>504</v>
      </c>
      <c r="AM28" s="15"/>
      <c r="AN28" s="15"/>
      <c r="AO28" s="15"/>
      <c r="AP28" s="15"/>
      <c r="AQ28" s="15"/>
      <c r="AR28" s="827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>
        <f>ROUND(E28*20,0)</f>
        <v>3000</v>
      </c>
      <c r="BG28" s="15"/>
      <c r="BH28" s="15">
        <f t="shared" si="52"/>
        <v>77968</v>
      </c>
      <c r="BI28" s="447">
        <f t="shared" si="44"/>
        <v>519.79</v>
      </c>
      <c r="BJ28" s="76">
        <f t="shared" si="53"/>
        <v>57192</v>
      </c>
      <c r="BK28" s="76">
        <f t="shared" si="53"/>
        <v>17272</v>
      </c>
      <c r="BL28" s="76">
        <f>Z28+AB28+AC28+AA28</f>
        <v>0</v>
      </c>
      <c r="BM28" s="76">
        <f>BF28</f>
        <v>3000</v>
      </c>
      <c r="BN28" s="76">
        <f>BE28</f>
        <v>0</v>
      </c>
      <c r="BO28" s="76">
        <f>BG28+AL28+AM28+AN28+AO28+AP28+AQ28+AS28+AT28+AU28+AV28+AW28+AX28+AY28+AZ28+BA28+BB28+BC28+BD28</f>
        <v>504</v>
      </c>
      <c r="BP28" s="92">
        <f>SUM(BJ28:BO28)</f>
        <v>77968</v>
      </c>
    </row>
    <row r="29" spans="1:70" s="622" customFormat="1" ht="60">
      <c r="A29" s="859"/>
      <c r="B29" s="9" t="s">
        <v>198</v>
      </c>
      <c r="C29" s="9" t="s">
        <v>196</v>
      </c>
      <c r="D29" s="157"/>
      <c r="E29" s="313">
        <v>6902</v>
      </c>
      <c r="F29" s="830"/>
      <c r="G29" s="8">
        <f t="shared" si="30"/>
        <v>213.13200000000001</v>
      </c>
      <c r="H29" s="8">
        <f t="shared" si="31"/>
        <v>0</v>
      </c>
      <c r="I29" s="8">
        <f t="shared" si="23"/>
        <v>213.13200000000001</v>
      </c>
      <c r="J29" s="451">
        <f t="shared" si="46"/>
        <v>0.71899999999999997</v>
      </c>
      <c r="K29" s="8">
        <f t="shared" si="33"/>
        <v>0</v>
      </c>
      <c r="L29" s="8">
        <f t="shared" si="34"/>
        <v>0</v>
      </c>
      <c r="M29" s="8">
        <f t="shared" si="35"/>
        <v>0</v>
      </c>
      <c r="N29" s="11">
        <f t="shared" si="36"/>
        <v>0</v>
      </c>
      <c r="O29" s="11">
        <f t="shared" si="37"/>
        <v>4.78</v>
      </c>
      <c r="P29" s="453">
        <f t="shared" si="50"/>
        <v>0.23200000000000001</v>
      </c>
      <c r="Q29" s="8">
        <f t="shared" si="3"/>
        <v>218.863</v>
      </c>
      <c r="R29" s="8">
        <f t="shared" si="40"/>
        <v>0</v>
      </c>
      <c r="S29" s="8">
        <f t="shared" si="41"/>
        <v>0</v>
      </c>
      <c r="T29" s="627">
        <f t="shared" si="51"/>
        <v>218.863</v>
      </c>
      <c r="U29" s="830"/>
      <c r="V29" s="15">
        <v>1129794</v>
      </c>
      <c r="W29" s="15">
        <f>535851.57-194606</f>
        <v>341245.56999999995</v>
      </c>
      <c r="X29" s="15"/>
      <c r="Y29" s="15"/>
      <c r="Z29" s="15"/>
      <c r="AA29" s="15"/>
      <c r="AB29" s="15"/>
      <c r="AC29" s="15"/>
      <c r="AD29" s="15">
        <v>4099.68</v>
      </c>
      <c r="AE29" s="15"/>
      <c r="AF29" s="15">
        <v>215</v>
      </c>
      <c r="AG29" s="15">
        <v>646</v>
      </c>
      <c r="AH29" s="15"/>
      <c r="AI29" s="15"/>
      <c r="AJ29" s="15"/>
      <c r="AK29" s="15">
        <v>1599</v>
      </c>
      <c r="AL29" s="15">
        <f>SUM(AD29:AK29)</f>
        <v>6559.68</v>
      </c>
      <c r="AM29" s="15"/>
      <c r="AN29" s="15"/>
      <c r="AO29" s="15"/>
      <c r="AP29" s="15"/>
      <c r="AQ29" s="15"/>
      <c r="AR29" s="828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>
        <f>BF30-BF25-BF26-BF27-BF28</f>
        <v>32987</v>
      </c>
      <c r="BG29" s="15"/>
      <c r="BH29" s="15">
        <f t="shared" si="52"/>
        <v>1510586.2499999998</v>
      </c>
      <c r="BI29" s="447">
        <f t="shared" si="44"/>
        <v>218.86</v>
      </c>
      <c r="BJ29" s="76">
        <f t="shared" si="53"/>
        <v>1129794</v>
      </c>
      <c r="BK29" s="76">
        <f t="shared" si="53"/>
        <v>341245.56999999995</v>
      </c>
      <c r="BL29" s="76">
        <f>Z29+AB29+AC29+AA29</f>
        <v>0</v>
      </c>
      <c r="BM29" s="76">
        <f>BF29</f>
        <v>32987</v>
      </c>
      <c r="BN29" s="76">
        <f>BE29</f>
        <v>0</v>
      </c>
      <c r="BO29" s="76">
        <f>BG29+AL29+AM29+AN29+AO29+AP29+AQ29+AS29+AT29+AU29+AV29+AW29+AX29+AY29+AZ29+BA29+BB29+BC29+BD29</f>
        <v>6559.68</v>
      </c>
      <c r="BP29" s="92">
        <f>SUM(BJ29:BO29)</f>
        <v>1510586.2499999998</v>
      </c>
    </row>
    <row r="30" spans="1:70" ht="32.25" customHeight="1">
      <c r="A30" s="109" t="s">
        <v>251</v>
      </c>
      <c r="B30" s="29"/>
      <c r="C30" s="29" t="s">
        <v>252</v>
      </c>
      <c r="D30" s="158"/>
      <c r="E30" s="32">
        <f>ROUND(E29+E28*2+E27*2+E26*2+E25*2,0)</f>
        <v>9934</v>
      </c>
      <c r="F30" s="159"/>
      <c r="G30" s="30">
        <f t="shared" si="30"/>
        <v>232.53800000000001</v>
      </c>
      <c r="H30" s="30">
        <f t="shared" si="31"/>
        <v>0</v>
      </c>
      <c r="I30" s="30">
        <f t="shared" si="23"/>
        <v>232.53800000000001</v>
      </c>
      <c r="J30" s="30">
        <f>ROUND((AL30-AK30)/E30,2)</f>
        <v>0.79</v>
      </c>
      <c r="K30" s="30">
        <f t="shared" si="33"/>
        <v>0</v>
      </c>
      <c r="L30" s="30">
        <f t="shared" si="34"/>
        <v>0</v>
      </c>
      <c r="M30" s="30">
        <f t="shared" si="35"/>
        <v>0</v>
      </c>
      <c r="N30" s="33">
        <f t="shared" si="36"/>
        <v>0</v>
      </c>
      <c r="O30" s="33">
        <f t="shared" si="37"/>
        <v>5.07</v>
      </c>
      <c r="P30" s="33">
        <f>ROUND(AK30/E30,3)</f>
        <v>0.251</v>
      </c>
      <c r="Q30" s="30">
        <f>P30+O30+N30+M30+L30+K30+J30+I30</f>
        <v>238.649</v>
      </c>
      <c r="R30" s="30">
        <f t="shared" si="40"/>
        <v>0</v>
      </c>
      <c r="S30" s="30">
        <f t="shared" si="41"/>
        <v>0</v>
      </c>
      <c r="T30" s="627">
        <f t="shared" si="51"/>
        <v>238.649</v>
      </c>
      <c r="U30" s="159"/>
      <c r="V30" s="24">
        <f>SUM(V25:V29)</f>
        <v>1774182</v>
      </c>
      <c r="W30" s="24">
        <f t="shared" ref="W30:BG30" si="54">W25+W26+W27+W28+W29</f>
        <v>535851.56999999995</v>
      </c>
      <c r="X30" s="24">
        <f t="shared" si="54"/>
        <v>0</v>
      </c>
      <c r="Y30" s="24">
        <f t="shared" si="54"/>
        <v>0</v>
      </c>
      <c r="Z30" s="24">
        <f t="shared" si="54"/>
        <v>0</v>
      </c>
      <c r="AA30" s="24">
        <f t="shared" si="54"/>
        <v>0</v>
      </c>
      <c r="AB30" s="24">
        <f t="shared" si="54"/>
        <v>0</v>
      </c>
      <c r="AC30" s="24">
        <f t="shared" si="54"/>
        <v>0</v>
      </c>
      <c r="AD30" s="24">
        <f t="shared" si="54"/>
        <v>6472.68</v>
      </c>
      <c r="AE30" s="24">
        <f t="shared" si="54"/>
        <v>0</v>
      </c>
      <c r="AF30" s="24">
        <f t="shared" si="54"/>
        <v>333</v>
      </c>
      <c r="AG30" s="24">
        <f t="shared" si="54"/>
        <v>1001</v>
      </c>
      <c r="AH30" s="24">
        <f t="shared" si="54"/>
        <v>0</v>
      </c>
      <c r="AI30" s="24">
        <f t="shared" si="54"/>
        <v>0</v>
      </c>
      <c r="AJ30" s="24">
        <f t="shared" si="54"/>
        <v>0</v>
      </c>
      <c r="AK30" s="24">
        <f t="shared" si="54"/>
        <v>2498</v>
      </c>
      <c r="AL30" s="24">
        <f>AL25+AL26+AL27+AL28+AL29</f>
        <v>10304.68</v>
      </c>
      <c r="AM30" s="24">
        <f t="shared" si="54"/>
        <v>0</v>
      </c>
      <c r="AN30" s="24">
        <f t="shared" si="54"/>
        <v>0</v>
      </c>
      <c r="AO30" s="24">
        <f t="shared" si="54"/>
        <v>0</v>
      </c>
      <c r="AP30" s="24">
        <f t="shared" si="54"/>
        <v>0</v>
      </c>
      <c r="AQ30" s="24">
        <f t="shared" si="54"/>
        <v>0</v>
      </c>
      <c r="AR30" s="307"/>
      <c r="AS30" s="24">
        <f t="shared" si="54"/>
        <v>0</v>
      </c>
      <c r="AT30" s="24">
        <f t="shared" si="54"/>
        <v>0</v>
      </c>
      <c r="AU30" s="24">
        <f t="shared" si="54"/>
        <v>0</v>
      </c>
      <c r="AV30" s="24">
        <f t="shared" si="54"/>
        <v>0</v>
      </c>
      <c r="AW30" s="24">
        <f t="shared" si="54"/>
        <v>0</v>
      </c>
      <c r="AX30" s="24">
        <f t="shared" si="54"/>
        <v>0</v>
      </c>
      <c r="AY30" s="24">
        <f t="shared" si="54"/>
        <v>0</v>
      </c>
      <c r="AZ30" s="24">
        <f t="shared" si="54"/>
        <v>0</v>
      </c>
      <c r="BA30" s="24">
        <f t="shared" si="54"/>
        <v>0</v>
      </c>
      <c r="BB30" s="24">
        <f t="shared" si="54"/>
        <v>0</v>
      </c>
      <c r="BC30" s="24">
        <f t="shared" si="54"/>
        <v>0</v>
      </c>
      <c r="BD30" s="24">
        <f t="shared" si="54"/>
        <v>0</v>
      </c>
      <c r="BE30" s="24">
        <f t="shared" si="54"/>
        <v>0</v>
      </c>
      <c r="BF30" s="24">
        <v>50403</v>
      </c>
      <c r="BG30" s="24">
        <f t="shared" si="54"/>
        <v>0</v>
      </c>
      <c r="BH30" s="24">
        <f t="shared" si="52"/>
        <v>2370741.25</v>
      </c>
      <c r="BI30" s="447">
        <f t="shared" si="44"/>
        <v>238.65</v>
      </c>
      <c r="BJ30" s="24">
        <f t="shared" ref="BJ30:BP30" si="55">BJ25+BJ26+BJ27+BJ28+BJ29</f>
        <v>1774182</v>
      </c>
      <c r="BK30" s="24">
        <f t="shared" si="55"/>
        <v>535851.56999999995</v>
      </c>
      <c r="BL30" s="24">
        <f t="shared" si="55"/>
        <v>0</v>
      </c>
      <c r="BM30" s="24">
        <f t="shared" si="55"/>
        <v>50403</v>
      </c>
      <c r="BN30" s="24">
        <f t="shared" si="55"/>
        <v>0</v>
      </c>
      <c r="BO30" s="24">
        <f t="shared" si="55"/>
        <v>10304.68</v>
      </c>
      <c r="BP30" s="24">
        <f t="shared" si="55"/>
        <v>2370741.25</v>
      </c>
      <c r="BQ30" s="621"/>
      <c r="BR30" s="621"/>
    </row>
    <row r="31" spans="1:70" s="622" customFormat="1" ht="22.5" customHeight="1">
      <c r="A31" s="857" t="s">
        <v>194</v>
      </c>
      <c r="B31" s="648" t="s">
        <v>197</v>
      </c>
      <c r="C31" s="648" t="s">
        <v>189</v>
      </c>
      <c r="D31" s="157" t="s">
        <v>190</v>
      </c>
      <c r="E31" s="313">
        <v>2095</v>
      </c>
      <c r="F31" s="671" t="s">
        <v>77</v>
      </c>
      <c r="G31" s="8">
        <f t="shared" si="30"/>
        <v>946.73400000000004</v>
      </c>
      <c r="H31" s="8">
        <f t="shared" si="31"/>
        <v>0</v>
      </c>
      <c r="I31" s="8">
        <f t="shared" si="23"/>
        <v>946.73400000000004</v>
      </c>
      <c r="J31" s="451">
        <f t="shared" si="46"/>
        <v>9.2439999999999998</v>
      </c>
      <c r="K31" s="8">
        <f>ROUND((AM31+AN31+AO31+AP31+AQ31)/E31,3)</f>
        <v>0.316</v>
      </c>
      <c r="L31" s="8">
        <f t="shared" si="34"/>
        <v>0</v>
      </c>
      <c r="M31" s="8">
        <f t="shared" si="35"/>
        <v>0</v>
      </c>
      <c r="N31" s="11">
        <f t="shared" si="36"/>
        <v>0</v>
      </c>
      <c r="O31" s="11">
        <f>ROUND(BF31/E31,3)</f>
        <v>2</v>
      </c>
      <c r="P31" s="453">
        <f t="shared" si="50"/>
        <v>3.9620000000000002</v>
      </c>
      <c r="Q31" s="8">
        <f t="shared" ref="Q31:Q36" si="56">P31+O31+N31+M31+L31+K31+J31+I31</f>
        <v>962.25600000000009</v>
      </c>
      <c r="R31" s="8">
        <f>ROUND((Z31+AB31+AC31+AA31)/E31,3)</f>
        <v>25.701000000000001</v>
      </c>
      <c r="S31" s="8">
        <f t="shared" si="41"/>
        <v>0</v>
      </c>
      <c r="T31" s="627">
        <f t="shared" ref="T31:T36" si="57">Q31+R31+S31</f>
        <v>987.95700000000011</v>
      </c>
      <c r="U31" s="671" t="s">
        <v>77</v>
      </c>
      <c r="V31" s="15">
        <v>1523355</v>
      </c>
      <c r="W31" s="15">
        <f>ROUND(V31*0.302,0)</f>
        <v>460053</v>
      </c>
      <c r="X31" s="15">
        <v>0</v>
      </c>
      <c r="Y31" s="15">
        <f>ROUND(X31*0.302,0)</f>
        <v>0</v>
      </c>
      <c r="Z31" s="15">
        <v>21411</v>
      </c>
      <c r="AA31" s="15">
        <v>17162</v>
      </c>
      <c r="AB31" s="15">
        <v>10629</v>
      </c>
      <c r="AC31" s="15">
        <v>4642</v>
      </c>
      <c r="AD31" s="15">
        <f>AL31-AK31-AG31-AF31</f>
        <v>13834</v>
      </c>
      <c r="AE31" s="15"/>
      <c r="AF31" s="15">
        <f>ROUND(AL31*0.05,0)</f>
        <v>1383</v>
      </c>
      <c r="AG31" s="15">
        <f>ROUND(AL31*0.15,0)</f>
        <v>4150</v>
      </c>
      <c r="AH31" s="15"/>
      <c r="AI31" s="15"/>
      <c r="AJ31" s="15"/>
      <c r="AK31" s="15">
        <f t="shared" ref="AK31:AK41" si="58">ROUND(AL31*0.3,0)</f>
        <v>8300</v>
      </c>
      <c r="AL31" s="15">
        <f>ROUND(13.206*E31,0)</f>
        <v>27667</v>
      </c>
      <c r="AM31" s="15">
        <v>661</v>
      </c>
      <c r="AN31" s="15"/>
      <c r="AO31" s="15"/>
      <c r="AP31" s="15"/>
      <c r="AQ31" s="15"/>
      <c r="AR31" s="705" t="s">
        <v>77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>
        <f>ROUND(E31*2,0)</f>
        <v>4190</v>
      </c>
      <c r="BG31" s="15"/>
      <c r="BH31" s="15">
        <f t="shared" si="52"/>
        <v>2069770</v>
      </c>
      <c r="BI31" s="447">
        <f t="shared" si="44"/>
        <v>987.96</v>
      </c>
      <c r="BJ31" s="76">
        <f t="shared" ref="BJ31:BK35" si="59">V31+X31</f>
        <v>1523355</v>
      </c>
      <c r="BK31" s="76">
        <f t="shared" si="59"/>
        <v>460053</v>
      </c>
      <c r="BL31" s="76">
        <f>Z31+AB31+AC31+AA31</f>
        <v>53844</v>
      </c>
      <c r="BM31" s="76">
        <f>BF31</f>
        <v>4190</v>
      </c>
      <c r="BN31" s="76">
        <f>BE31</f>
        <v>0</v>
      </c>
      <c r="BO31" s="76">
        <f>BG31+AL31+AM31+AN31+AO31+AP31+AQ31+AS31+AT31+AU31+AV31+AW31+AX31+AY31+AZ31+BA31+BB31+BC31+BD31</f>
        <v>28328</v>
      </c>
      <c r="BP31" s="92">
        <f>SUM(BJ31:BO31)</f>
        <v>2069770</v>
      </c>
    </row>
    <row r="32" spans="1:70" s="622" customFormat="1" ht="18" customHeight="1">
      <c r="A32" s="858"/>
      <c r="B32" s="849"/>
      <c r="C32" s="849"/>
      <c r="D32" s="157" t="s">
        <v>191</v>
      </c>
      <c r="E32" s="313">
        <v>2820</v>
      </c>
      <c r="F32" s="829"/>
      <c r="G32" s="8">
        <f t="shared" si="30"/>
        <v>946.73400000000004</v>
      </c>
      <c r="H32" s="8">
        <f>ROUND((X32+Y32)/E32,3)</f>
        <v>71.245000000000005</v>
      </c>
      <c r="I32" s="8">
        <f t="shared" si="23"/>
        <v>1017.979</v>
      </c>
      <c r="J32" s="451">
        <f t="shared" si="46"/>
        <v>9.2439999999999998</v>
      </c>
      <c r="K32" s="8">
        <f>ROUND((AM32+AN32+AO32+AP32+AQ32)/E32,3)</f>
        <v>0.94499999999999995</v>
      </c>
      <c r="L32" s="8">
        <f t="shared" si="34"/>
        <v>0.08</v>
      </c>
      <c r="M32" s="8">
        <f t="shared" si="35"/>
        <v>0</v>
      </c>
      <c r="N32" s="11">
        <f t="shared" si="36"/>
        <v>0</v>
      </c>
      <c r="O32" s="11">
        <f>ROUND(BF32/E32,2)</f>
        <v>9</v>
      </c>
      <c r="P32" s="453">
        <f t="shared" si="50"/>
        <v>3.9620000000000002</v>
      </c>
      <c r="Q32" s="8">
        <f t="shared" si="56"/>
        <v>1041.21</v>
      </c>
      <c r="R32" s="8">
        <f>ROUND((Z32+AB32+AC32+AA32)/E32,2)</f>
        <v>25.7</v>
      </c>
      <c r="S32" s="8">
        <f t="shared" si="41"/>
        <v>0</v>
      </c>
      <c r="T32" s="627">
        <f t="shared" si="57"/>
        <v>1066.9100000000001</v>
      </c>
      <c r="U32" s="829"/>
      <c r="V32" s="15">
        <v>2050530</v>
      </c>
      <c r="W32" s="15">
        <f>ROUND(V32*0.302,0)</f>
        <v>619260</v>
      </c>
      <c r="X32" s="15">
        <v>154309</v>
      </c>
      <c r="Y32" s="15">
        <f>ROUND(X32*0.302,0)</f>
        <v>46601</v>
      </c>
      <c r="Z32" s="15">
        <v>28822</v>
      </c>
      <c r="AA32" s="15">
        <v>23102</v>
      </c>
      <c r="AB32" s="15">
        <v>14307</v>
      </c>
      <c r="AC32" s="15">
        <v>6248</v>
      </c>
      <c r="AD32" s="15">
        <f>AL32-AK32-AG32-AF32</f>
        <v>18621</v>
      </c>
      <c r="AE32" s="15"/>
      <c r="AF32" s="15">
        <f>ROUND(AL32*0.05,0)</f>
        <v>1862</v>
      </c>
      <c r="AG32" s="15">
        <f>ROUND(AL32*0.15,0)</f>
        <v>5586</v>
      </c>
      <c r="AH32" s="15"/>
      <c r="AI32" s="15"/>
      <c r="AJ32" s="15"/>
      <c r="AK32" s="15">
        <f t="shared" si="58"/>
        <v>11172</v>
      </c>
      <c r="AL32" s="15">
        <f>ROUND(13.206*E32,0)</f>
        <v>37241</v>
      </c>
      <c r="AM32" s="15">
        <v>1426</v>
      </c>
      <c r="AN32" s="15"/>
      <c r="AO32" s="15"/>
      <c r="AP32" s="15"/>
      <c r="AQ32" s="15">
        <v>1240</v>
      </c>
      <c r="AR32" s="827"/>
      <c r="AS32" s="15"/>
      <c r="AT32" s="15"/>
      <c r="AU32" s="15">
        <v>230</v>
      </c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>
        <f>ROUND(E32*9,0)</f>
        <v>25380</v>
      </c>
      <c r="BG32" s="15"/>
      <c r="BH32" s="15">
        <f t="shared" si="52"/>
        <v>3008696</v>
      </c>
      <c r="BI32" s="447">
        <f t="shared" si="44"/>
        <v>1066.9100000000001</v>
      </c>
      <c r="BJ32" s="76">
        <f t="shared" si="59"/>
        <v>2204839</v>
      </c>
      <c r="BK32" s="76">
        <f t="shared" si="59"/>
        <v>665861</v>
      </c>
      <c r="BL32" s="76">
        <f>Z32+AB32+AC32+AA32</f>
        <v>72479</v>
      </c>
      <c r="BM32" s="76">
        <f>BF32</f>
        <v>25380</v>
      </c>
      <c r="BN32" s="76">
        <f>BE32</f>
        <v>0</v>
      </c>
      <c r="BO32" s="76">
        <f>BG32+AL32+AM32+AN32+AO32+AP32+AQ32+AS32+AT32+AU32+AV32+AW32+AX32+AY32+AZ32+BA32+BB32+BC32+BD32</f>
        <v>40137</v>
      </c>
      <c r="BP32" s="92">
        <f>SUM(BJ32:BO32)</f>
        <v>3008696</v>
      </c>
    </row>
    <row r="33" spans="1:72" s="622" customFormat="1" ht="23.25" customHeight="1">
      <c r="A33" s="858"/>
      <c r="B33" s="849"/>
      <c r="C33" s="849"/>
      <c r="D33" s="157" t="s">
        <v>192</v>
      </c>
      <c r="E33" s="313">
        <v>1234</v>
      </c>
      <c r="F33" s="829"/>
      <c r="G33" s="8">
        <f t="shared" si="30"/>
        <v>946.73400000000004</v>
      </c>
      <c r="H33" s="8">
        <f t="shared" ref="H33:H38" si="60">ROUND((X33+Y33)/E33,2)</f>
        <v>225.34</v>
      </c>
      <c r="I33" s="8">
        <f t="shared" si="23"/>
        <v>1172.0740000000001</v>
      </c>
      <c r="J33" s="451">
        <f t="shared" si="46"/>
        <v>9.2439999999999998</v>
      </c>
      <c r="K33" s="8">
        <f>ROUND((AM33+AN33+AO33+AP33+AQ33)/E33,2)</f>
        <v>2.16</v>
      </c>
      <c r="L33" s="8">
        <f t="shared" si="34"/>
        <v>0.19</v>
      </c>
      <c r="M33" s="8">
        <f t="shared" si="35"/>
        <v>0</v>
      </c>
      <c r="N33" s="11">
        <f t="shared" si="36"/>
        <v>0</v>
      </c>
      <c r="O33" s="11">
        <f>ROUND(BF33/E33,2)</f>
        <v>20</v>
      </c>
      <c r="P33" s="453">
        <f t="shared" si="50"/>
        <v>3.9620000000000002</v>
      </c>
      <c r="Q33" s="8">
        <f t="shared" si="56"/>
        <v>1207.6300000000001</v>
      </c>
      <c r="R33" s="8">
        <f>ROUND((Z33+AB33+AC33+AA33)/E33,2)</f>
        <v>25.7</v>
      </c>
      <c r="S33" s="8">
        <f t="shared" si="41"/>
        <v>0</v>
      </c>
      <c r="T33" s="627">
        <f t="shared" si="57"/>
        <v>1233.3300000000002</v>
      </c>
      <c r="U33" s="829"/>
      <c r="V33" s="15">
        <v>897289</v>
      </c>
      <c r="W33" s="15">
        <f>ROUND(V33*0.302,0)</f>
        <v>270981</v>
      </c>
      <c r="X33" s="15">
        <v>213575</v>
      </c>
      <c r="Y33" s="15">
        <f>ROUND(X33*0.302,0)</f>
        <v>64500</v>
      </c>
      <c r="Z33" s="15">
        <v>12612</v>
      </c>
      <c r="AA33" s="15">
        <v>10109</v>
      </c>
      <c r="AB33" s="15">
        <v>6261</v>
      </c>
      <c r="AC33" s="15">
        <v>2734</v>
      </c>
      <c r="AD33" s="15">
        <f>AL33-AK33-AG33-AF33</f>
        <v>8148</v>
      </c>
      <c r="AE33" s="15"/>
      <c r="AF33" s="15">
        <f>ROUND(AL33*0.05,0)</f>
        <v>815</v>
      </c>
      <c r="AG33" s="15">
        <f>ROUND(AL33*0.15,0)</f>
        <v>2444</v>
      </c>
      <c r="AH33" s="15"/>
      <c r="AI33" s="15"/>
      <c r="AJ33" s="15"/>
      <c r="AK33" s="15">
        <f t="shared" si="58"/>
        <v>4889</v>
      </c>
      <c r="AL33" s="15">
        <f>ROUND(13.206*E33,0)</f>
        <v>16296</v>
      </c>
      <c r="AM33" s="15">
        <v>1426</v>
      </c>
      <c r="AN33" s="15"/>
      <c r="AO33" s="15"/>
      <c r="AP33" s="15"/>
      <c r="AQ33" s="15">
        <v>1240</v>
      </c>
      <c r="AR33" s="827"/>
      <c r="AS33" s="15"/>
      <c r="AT33" s="15"/>
      <c r="AU33" s="15">
        <v>230</v>
      </c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>
        <f>ROUND(E33*20,0)</f>
        <v>24680</v>
      </c>
      <c r="BG33" s="15"/>
      <c r="BH33" s="15">
        <f t="shared" si="52"/>
        <v>1521933</v>
      </c>
      <c r="BI33" s="447">
        <f t="shared" si="44"/>
        <v>1233.33</v>
      </c>
      <c r="BJ33" s="76">
        <f t="shared" si="59"/>
        <v>1110864</v>
      </c>
      <c r="BK33" s="76">
        <f t="shared" si="59"/>
        <v>335481</v>
      </c>
      <c r="BL33" s="76">
        <f>Z33+AB33+AC33+AA33</f>
        <v>31716</v>
      </c>
      <c r="BM33" s="76">
        <f>BF33</f>
        <v>24680</v>
      </c>
      <c r="BN33" s="76">
        <f>BE33</f>
        <v>0</v>
      </c>
      <c r="BO33" s="76">
        <f>BG33+AL33+AM33+AN33+AO33+AP33+AQ33+AS33+AT33+AU33+AV33+AW33+AX33+AY33+AZ33+BA33+BB33+BC33+BD33</f>
        <v>19192</v>
      </c>
      <c r="BP33" s="92">
        <f>SUM(BJ33:BO33)</f>
        <v>1521933</v>
      </c>
    </row>
    <row r="34" spans="1:72" s="622" customFormat="1" ht="28.5" customHeight="1">
      <c r="A34" s="858"/>
      <c r="B34" s="850"/>
      <c r="C34" s="850"/>
      <c r="D34" s="157" t="s">
        <v>193</v>
      </c>
      <c r="E34" s="313">
        <v>279</v>
      </c>
      <c r="F34" s="829"/>
      <c r="G34" s="8">
        <f t="shared" si="30"/>
        <v>946.73099999999999</v>
      </c>
      <c r="H34" s="8">
        <f t="shared" si="60"/>
        <v>0</v>
      </c>
      <c r="I34" s="8">
        <f t="shared" si="23"/>
        <v>946.73099999999999</v>
      </c>
      <c r="J34" s="451">
        <f t="shared" si="46"/>
        <v>9.2439999999999998</v>
      </c>
      <c r="K34" s="8">
        <f>ROUND((AM34+AN34+AO34+AP34+AQ34)/E34,2)</f>
        <v>0</v>
      </c>
      <c r="L34" s="8">
        <f t="shared" si="34"/>
        <v>0</v>
      </c>
      <c r="M34" s="8">
        <f t="shared" si="35"/>
        <v>0</v>
      </c>
      <c r="N34" s="11">
        <f t="shared" si="36"/>
        <v>0</v>
      </c>
      <c r="O34" s="11">
        <f>ROUND(BF34/E34,3)</f>
        <v>20</v>
      </c>
      <c r="P34" s="453">
        <f t="shared" si="50"/>
        <v>3.9609999999999999</v>
      </c>
      <c r="Q34" s="8">
        <f t="shared" si="56"/>
        <v>979.93600000000004</v>
      </c>
      <c r="R34" s="8">
        <f>ROUND((Z34+AB34+AC34+AA34)/E34,3)</f>
        <v>25.706</v>
      </c>
      <c r="S34" s="8">
        <f t="shared" si="41"/>
        <v>0</v>
      </c>
      <c r="T34" s="627">
        <f t="shared" si="57"/>
        <v>1005.6420000000001</v>
      </c>
      <c r="U34" s="829"/>
      <c r="V34" s="15">
        <v>202871</v>
      </c>
      <c r="W34" s="15">
        <f>ROUND(V34*0.302,0)</f>
        <v>61267</v>
      </c>
      <c r="X34" s="15">
        <v>0</v>
      </c>
      <c r="Y34" s="15">
        <f>ROUND(X34*0.302,0)</f>
        <v>0</v>
      </c>
      <c r="Z34" s="15">
        <v>2852</v>
      </c>
      <c r="AA34" s="15">
        <v>2286</v>
      </c>
      <c r="AB34" s="15">
        <v>1416</v>
      </c>
      <c r="AC34" s="15">
        <v>618</v>
      </c>
      <c r="AD34" s="15">
        <f>AL34-AK34-AG34-AF34</f>
        <v>1842</v>
      </c>
      <c r="AE34" s="15"/>
      <c r="AF34" s="15">
        <f>ROUND(AL34*0.05,0)</f>
        <v>184</v>
      </c>
      <c r="AG34" s="15">
        <f>ROUND(AL34*0.15,0)</f>
        <v>553</v>
      </c>
      <c r="AH34" s="15"/>
      <c r="AI34" s="15"/>
      <c r="AJ34" s="15"/>
      <c r="AK34" s="15">
        <f t="shared" si="58"/>
        <v>1105</v>
      </c>
      <c r="AL34" s="15">
        <f>ROUND(13.206*E34,0)</f>
        <v>3684</v>
      </c>
      <c r="AM34" s="15"/>
      <c r="AN34" s="15"/>
      <c r="AO34" s="15"/>
      <c r="AP34" s="15"/>
      <c r="AQ34" s="15"/>
      <c r="AR34" s="827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>
        <f>ROUND(E34*20,0)</f>
        <v>5580</v>
      </c>
      <c r="BG34" s="15"/>
      <c r="BH34" s="15">
        <f t="shared" si="52"/>
        <v>280574</v>
      </c>
      <c r="BI34" s="447">
        <f t="shared" si="44"/>
        <v>1005.64</v>
      </c>
      <c r="BJ34" s="76">
        <f t="shared" si="59"/>
        <v>202871</v>
      </c>
      <c r="BK34" s="76">
        <f t="shared" si="59"/>
        <v>61267</v>
      </c>
      <c r="BL34" s="76">
        <f>Z34+AB34+AC34+AA34</f>
        <v>7172</v>
      </c>
      <c r="BM34" s="76">
        <f>BF34</f>
        <v>5580</v>
      </c>
      <c r="BN34" s="76">
        <f>BE34</f>
        <v>0</v>
      </c>
      <c r="BO34" s="76">
        <f>BG34+AL34+AM34+AN34+AO34+AP34+AQ34+AS34+AT34+AU34+AV34+AW34+AX34+AY34+AZ34+BA34+BB34+BC34+BD34</f>
        <v>3684</v>
      </c>
      <c r="BP34" s="92">
        <f>SUM(BJ34:BO34)</f>
        <v>280574</v>
      </c>
    </row>
    <row r="35" spans="1:72" s="622" customFormat="1" ht="60">
      <c r="A35" s="859"/>
      <c r="B35" s="9" t="s">
        <v>198</v>
      </c>
      <c r="C35" s="9" t="s">
        <v>196</v>
      </c>
      <c r="D35" s="157"/>
      <c r="E35" s="313">
        <v>24917</v>
      </c>
      <c r="F35" s="830"/>
      <c r="G35" s="8">
        <f t="shared" si="30"/>
        <v>359.06599999999997</v>
      </c>
      <c r="H35" s="8">
        <f>ROUND((X35+Y35)/E35,3)</f>
        <v>5.7510000000000003</v>
      </c>
      <c r="I35" s="8">
        <f t="shared" si="23"/>
        <v>364.81699999999995</v>
      </c>
      <c r="J35" s="451">
        <f t="shared" si="46"/>
        <v>3.4660000000000002</v>
      </c>
      <c r="K35" s="8">
        <f>ROUND((AM35+AN35+AO35+AP35+AQ35)/E35,3)</f>
        <v>1.123</v>
      </c>
      <c r="L35" s="8">
        <f>ROUND((AS35+AT35+AU35+AV35+AW35)/E35,3)</f>
        <v>0.16900000000000001</v>
      </c>
      <c r="M35" s="8">
        <f t="shared" si="35"/>
        <v>0</v>
      </c>
      <c r="N35" s="11">
        <f>ROUND(BE35/E35,3)</f>
        <v>1.855</v>
      </c>
      <c r="O35" s="11">
        <f>ROUND(BF35/E35,3)</f>
        <v>3.125</v>
      </c>
      <c r="P35" s="453">
        <f t="shared" si="50"/>
        <v>1.486</v>
      </c>
      <c r="Q35" s="8">
        <f t="shared" si="56"/>
        <v>376.04099999999994</v>
      </c>
      <c r="R35" s="8">
        <f>ROUND((Z35+AB35+AC35+AA35)/E35,3)</f>
        <v>9.6430000000000007</v>
      </c>
      <c r="S35" s="8">
        <f t="shared" si="41"/>
        <v>0</v>
      </c>
      <c r="T35" s="627">
        <f t="shared" si="57"/>
        <v>385.68399999999997</v>
      </c>
      <c r="U35" s="830"/>
      <c r="V35" s="15">
        <f>6802780+80.56</f>
        <v>6802860.5599999996</v>
      </c>
      <c r="W35" s="15">
        <f>ROUND(V35*0.302,0)+89519.64</f>
        <v>2143983.64</v>
      </c>
      <c r="X35" s="15">
        <v>110068</v>
      </c>
      <c r="Y35" s="15">
        <f>ROUND(X35*0.302,0)</f>
        <v>33241</v>
      </c>
      <c r="Z35" s="15">
        <v>95577</v>
      </c>
      <c r="AA35" s="15">
        <v>76572</v>
      </c>
      <c r="AB35" s="15">
        <v>47366</v>
      </c>
      <c r="AC35" s="15">
        <f>35000-14242</f>
        <v>20758</v>
      </c>
      <c r="AD35" s="15">
        <f>AL35-AK35-AG35-AF35</f>
        <v>61694.850000000006</v>
      </c>
      <c r="AE35" s="15"/>
      <c r="AF35" s="15">
        <f>ROUND(AL35*0.05,0)</f>
        <v>6169</v>
      </c>
      <c r="AG35" s="15">
        <f>ROUND(AL35*0.15,0)</f>
        <v>18508</v>
      </c>
      <c r="AH35" s="15"/>
      <c r="AI35" s="15"/>
      <c r="AJ35" s="15"/>
      <c r="AK35" s="15">
        <f t="shared" si="58"/>
        <v>37016</v>
      </c>
      <c r="AL35" s="15">
        <v>123387.85</v>
      </c>
      <c r="AM35" s="15">
        <v>1487</v>
      </c>
      <c r="AN35" s="15">
        <v>2500</v>
      </c>
      <c r="AO35" s="15">
        <v>8000</v>
      </c>
      <c r="AP35" s="15">
        <v>16000</v>
      </c>
      <c r="AQ35" s="15"/>
      <c r="AR35" s="828"/>
      <c r="AS35" s="15"/>
      <c r="AT35" s="15"/>
      <c r="AU35" s="15">
        <f>770+3437</f>
        <v>4207</v>
      </c>
      <c r="AV35" s="15"/>
      <c r="AW35" s="15"/>
      <c r="AX35" s="15"/>
      <c r="AY35" s="15"/>
      <c r="AZ35" s="15"/>
      <c r="BA35" s="15"/>
      <c r="BB35" s="15"/>
      <c r="BC35" s="15"/>
      <c r="BD35" s="15"/>
      <c r="BE35" s="15">
        <v>46227</v>
      </c>
      <c r="BF35" s="15">
        <v>77872.86</v>
      </c>
      <c r="BG35" s="15"/>
      <c r="BH35" s="15">
        <f t="shared" si="52"/>
        <v>9610107.9099999983</v>
      </c>
      <c r="BI35" s="447">
        <f t="shared" si="44"/>
        <v>385.68</v>
      </c>
      <c r="BJ35" s="76">
        <f t="shared" si="59"/>
        <v>6912928.5599999996</v>
      </c>
      <c r="BK35" s="76">
        <f t="shared" si="59"/>
        <v>2177224.64</v>
      </c>
      <c r="BL35" s="76">
        <f>Z35+AB35+AC35+AA35</f>
        <v>240273</v>
      </c>
      <c r="BM35" s="76">
        <f>BF35</f>
        <v>77872.86</v>
      </c>
      <c r="BN35" s="76">
        <f>BE35</f>
        <v>46227</v>
      </c>
      <c r="BO35" s="76">
        <f>BG35+AL35+AM35+AN35+AO35+AP35+AQ35+AS35+AT35+AU35+AV35+AW35+AX35+AY35+AZ35+BA35+BB35+BC35+BD35</f>
        <v>155581.85</v>
      </c>
      <c r="BP35" s="92">
        <f>SUM(BJ35:BO35)</f>
        <v>9610107.9099999983</v>
      </c>
    </row>
    <row r="36" spans="1:72" ht="33" customHeight="1">
      <c r="A36" s="109" t="s">
        <v>251</v>
      </c>
      <c r="B36" s="29"/>
      <c r="C36" s="29" t="s">
        <v>252</v>
      </c>
      <c r="D36" s="158"/>
      <c r="E36" s="32">
        <v>37771</v>
      </c>
      <c r="F36" s="159"/>
      <c r="G36" s="30">
        <f>ROUND((V36+W36)/E36,3)</f>
        <v>397.98899999999998</v>
      </c>
      <c r="H36" s="30">
        <f>ROUND((X36+Y36)/E36,3)</f>
        <v>16.475000000000001</v>
      </c>
      <c r="I36" s="30">
        <f t="shared" si="23"/>
        <v>414.464</v>
      </c>
      <c r="J36" s="30">
        <f>ROUND((AL36-AK36)/E36,3)</f>
        <v>3.86</v>
      </c>
      <c r="K36" s="30">
        <f>ROUND((AM36+AN36+AO36+AP36+AQ36)/E36,3)</f>
        <v>0.9</v>
      </c>
      <c r="L36" s="30">
        <f>ROUND((AS36+AT36+AU36+AV36+AW36)/E36,3)</f>
        <v>0.124</v>
      </c>
      <c r="M36" s="30">
        <f t="shared" si="35"/>
        <v>0</v>
      </c>
      <c r="N36" s="33">
        <f>ROUND(BE36/E36,3)</f>
        <v>1.224</v>
      </c>
      <c r="O36" s="33">
        <f>ROUND(BF36/E36,2)</f>
        <v>3.65</v>
      </c>
      <c r="P36" s="33">
        <f>ROUND(AK36/E36,3)</f>
        <v>1.6539999999999999</v>
      </c>
      <c r="Q36" s="30">
        <f t="shared" si="56"/>
        <v>425.87599999999998</v>
      </c>
      <c r="R36" s="30">
        <f>ROUND((Z36+AB36+AC36+AA36)/E36,3)</f>
        <v>10.734999999999999</v>
      </c>
      <c r="S36" s="30">
        <f t="shared" si="41"/>
        <v>0</v>
      </c>
      <c r="T36" s="627">
        <f t="shared" si="57"/>
        <v>436.61099999999999</v>
      </c>
      <c r="U36" s="159"/>
      <c r="V36" s="24">
        <f>SUM(V31:V35)</f>
        <v>11476905.559999999</v>
      </c>
      <c r="W36" s="24">
        <f>SUM(W31:W35)</f>
        <v>3555544.64</v>
      </c>
      <c r="X36" s="24">
        <f>SUM(X31:X35)</f>
        <v>477952</v>
      </c>
      <c r="Y36" s="24">
        <f>SUM(Y31:Y35)</f>
        <v>144342</v>
      </c>
      <c r="Z36" s="24">
        <f t="shared" ref="Z36:BD36" si="61">Z31+Z32+Z33+Z34+Z35</f>
        <v>161274</v>
      </c>
      <c r="AA36" s="24">
        <f t="shared" si="61"/>
        <v>129231</v>
      </c>
      <c r="AB36" s="24">
        <f t="shared" si="61"/>
        <v>79979</v>
      </c>
      <c r="AC36" s="24">
        <f t="shared" si="61"/>
        <v>35000</v>
      </c>
      <c r="AD36" s="24">
        <f t="shared" si="61"/>
        <v>104139.85</v>
      </c>
      <c r="AE36" s="24">
        <f t="shared" si="61"/>
        <v>0</v>
      </c>
      <c r="AF36" s="24">
        <f t="shared" si="61"/>
        <v>10413</v>
      </c>
      <c r="AG36" s="24">
        <f t="shared" si="61"/>
        <v>31241</v>
      </c>
      <c r="AH36" s="24">
        <f t="shared" si="61"/>
        <v>0</v>
      </c>
      <c r="AI36" s="24">
        <f t="shared" si="61"/>
        <v>0</v>
      </c>
      <c r="AJ36" s="24">
        <f t="shared" si="61"/>
        <v>0</v>
      </c>
      <c r="AK36" s="24">
        <f t="shared" si="61"/>
        <v>62482</v>
      </c>
      <c r="AL36" s="24">
        <f>AL31+AL32+AL33+AL34+AL35</f>
        <v>208275.85</v>
      </c>
      <c r="AM36" s="24">
        <f t="shared" si="61"/>
        <v>5000</v>
      </c>
      <c r="AN36" s="24">
        <f t="shared" si="61"/>
        <v>2500</v>
      </c>
      <c r="AO36" s="24">
        <f t="shared" si="61"/>
        <v>8000</v>
      </c>
      <c r="AP36" s="24">
        <f t="shared" si="61"/>
        <v>16000</v>
      </c>
      <c r="AQ36" s="24">
        <f t="shared" si="61"/>
        <v>2480</v>
      </c>
      <c r="AR36" s="24"/>
      <c r="AS36" s="24">
        <f t="shared" si="61"/>
        <v>0</v>
      </c>
      <c r="AT36" s="24">
        <f t="shared" si="61"/>
        <v>0</v>
      </c>
      <c r="AU36" s="24">
        <f t="shared" si="61"/>
        <v>4667</v>
      </c>
      <c r="AV36" s="24">
        <f t="shared" si="61"/>
        <v>0</v>
      </c>
      <c r="AW36" s="24">
        <f t="shared" si="61"/>
        <v>0</v>
      </c>
      <c r="AX36" s="24">
        <f t="shared" si="61"/>
        <v>0</v>
      </c>
      <c r="AY36" s="24">
        <f t="shared" si="61"/>
        <v>0</v>
      </c>
      <c r="AZ36" s="24">
        <f t="shared" si="61"/>
        <v>0</v>
      </c>
      <c r="BA36" s="24">
        <f t="shared" si="61"/>
        <v>0</v>
      </c>
      <c r="BB36" s="24">
        <f t="shared" si="61"/>
        <v>0</v>
      </c>
      <c r="BC36" s="24">
        <f t="shared" si="61"/>
        <v>0</v>
      </c>
      <c r="BD36" s="24">
        <f t="shared" si="61"/>
        <v>0</v>
      </c>
      <c r="BE36" s="24">
        <f>BE31+BE32+BE33+BE34+BE35</f>
        <v>46227</v>
      </c>
      <c r="BF36" s="24">
        <f>BF31+BF32+BF33+BF34+BF35</f>
        <v>137702.85999999999</v>
      </c>
      <c r="BG36" s="24">
        <f>BG31+BG32+BG33+BG34+BG35</f>
        <v>0</v>
      </c>
      <c r="BH36" s="24">
        <f t="shared" si="52"/>
        <v>16491080.909999998</v>
      </c>
      <c r="BI36" s="447">
        <f>ROUND(BH36/E36,3)</f>
        <v>436.60700000000003</v>
      </c>
      <c r="BJ36" s="24">
        <f t="shared" ref="BJ36:BP36" si="62">BJ31+BJ32+BJ33+BJ34+BJ35</f>
        <v>11954857.559999999</v>
      </c>
      <c r="BK36" s="24">
        <f t="shared" si="62"/>
        <v>3699886.64</v>
      </c>
      <c r="BL36" s="24">
        <f t="shared" si="62"/>
        <v>405484</v>
      </c>
      <c r="BM36" s="24">
        <f t="shared" si="62"/>
        <v>137702.85999999999</v>
      </c>
      <c r="BN36" s="24">
        <f t="shared" si="62"/>
        <v>46227</v>
      </c>
      <c r="BO36" s="24">
        <f t="shared" si="62"/>
        <v>246922.85</v>
      </c>
      <c r="BP36" s="24">
        <f t="shared" si="62"/>
        <v>16491080.909999998</v>
      </c>
      <c r="BQ36" s="621"/>
      <c r="BR36" s="621"/>
      <c r="BS36" s="621"/>
      <c r="BT36" s="621"/>
    </row>
    <row r="37" spans="1:72" ht="21" customHeight="1">
      <c r="A37" s="857" t="s">
        <v>194</v>
      </c>
      <c r="B37" s="648" t="s">
        <v>197</v>
      </c>
      <c r="C37" s="648" t="s">
        <v>189</v>
      </c>
      <c r="D37" s="157" t="s">
        <v>190</v>
      </c>
      <c r="E37" s="313">
        <v>1950</v>
      </c>
      <c r="F37" s="671" t="s">
        <v>78</v>
      </c>
      <c r="G37" s="8">
        <f t="shared" ref="G37:G46" si="63">ROUND((V37+W37)/E37,3)</f>
        <v>823.08100000000002</v>
      </c>
      <c r="H37" s="8">
        <f>ROUND((X37+Y37)/E37,3)</f>
        <v>99.379000000000005</v>
      </c>
      <c r="I37" s="8">
        <f t="shared" ref="I37:I42" si="64">G37+H37</f>
        <v>922.46</v>
      </c>
      <c r="J37" s="451">
        <f t="shared" si="46"/>
        <v>2.8</v>
      </c>
      <c r="K37" s="8">
        <f>ROUND((AM37+AN37+AO37+AP37+AQ37)/E37,3)</f>
        <v>0.308</v>
      </c>
      <c r="L37" s="8">
        <f t="shared" ref="L37:L68" si="65">ROUND((AS37+AT37+AU37+AV37+AW37)/E37,2)</f>
        <v>0</v>
      </c>
      <c r="M37" s="8">
        <f t="shared" si="35"/>
        <v>0</v>
      </c>
      <c r="N37" s="11">
        <f t="shared" ref="N37:N68" si="66">ROUND(BE37/E37,2)</f>
        <v>0</v>
      </c>
      <c r="O37" s="11">
        <f>ROUND(BF37/E37,3)</f>
        <v>2.9</v>
      </c>
      <c r="P37" s="453">
        <f t="shared" si="50"/>
        <v>1.2</v>
      </c>
      <c r="Q37" s="8">
        <f t="shared" ref="Q37:Q42" si="67">P37+O37+N37+M37+L37+K37+J37+I37</f>
        <v>929.66800000000001</v>
      </c>
      <c r="R37" s="8">
        <f>ROUND((Z37+AB37+AC37+AA37)/E37,3)</f>
        <v>66.659000000000006</v>
      </c>
      <c r="S37" s="8">
        <f t="shared" si="41"/>
        <v>0</v>
      </c>
      <c r="T37" s="627">
        <f t="shared" si="51"/>
        <v>996.327</v>
      </c>
      <c r="U37" s="671" t="s">
        <v>78</v>
      </c>
      <c r="V37" s="15">
        <v>1232725</v>
      </c>
      <c r="W37" s="15">
        <f>ROUND(V37*0.302,0)</f>
        <v>372283</v>
      </c>
      <c r="X37" s="15">
        <v>148840</v>
      </c>
      <c r="Y37" s="15">
        <f>ROUND(X37*0.302,0)</f>
        <v>44950</v>
      </c>
      <c r="Z37" s="15">
        <v>68120</v>
      </c>
      <c r="AA37" s="15"/>
      <c r="AB37" s="15">
        <v>34105</v>
      </c>
      <c r="AC37" s="15">
        <v>27761</v>
      </c>
      <c r="AD37" s="15">
        <f>AL37-AK37-AG37-AF37</f>
        <v>3900</v>
      </c>
      <c r="AE37" s="15"/>
      <c r="AF37" s="15">
        <f>ROUND(AL37*0.05,0)</f>
        <v>390</v>
      </c>
      <c r="AG37" s="15">
        <f>ROUND(AL37*0.15,0)</f>
        <v>1170</v>
      </c>
      <c r="AH37" s="15"/>
      <c r="AI37" s="15"/>
      <c r="AJ37" s="15"/>
      <c r="AK37" s="15">
        <f t="shared" si="58"/>
        <v>2340</v>
      </c>
      <c r="AL37" s="15">
        <f>ROUND(4*E37,0)</f>
        <v>7800</v>
      </c>
      <c r="AM37" s="15"/>
      <c r="AN37" s="15"/>
      <c r="AO37" s="15"/>
      <c r="AP37" s="15">
        <v>600</v>
      </c>
      <c r="AQ37" s="15"/>
      <c r="AR37" s="705" t="s">
        <v>78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>
        <v>5655</v>
      </c>
      <c r="BG37" s="15"/>
      <c r="BH37" s="15">
        <f t="shared" si="52"/>
        <v>1942839</v>
      </c>
      <c r="BI37" s="447">
        <f t="shared" si="44"/>
        <v>996.33</v>
      </c>
      <c r="BJ37" s="76">
        <f t="shared" ref="BJ37:BJ89" si="68">V37+X37</f>
        <v>1381565</v>
      </c>
      <c r="BK37" s="76">
        <f t="shared" ref="BK37:BK89" si="69">W37+Y37</f>
        <v>417233</v>
      </c>
      <c r="BL37" s="76">
        <f>Z37+AB37+AC37+AA37</f>
        <v>129986</v>
      </c>
      <c r="BM37" s="76">
        <f>BF37</f>
        <v>5655</v>
      </c>
      <c r="BN37" s="76">
        <f>BE37</f>
        <v>0</v>
      </c>
      <c r="BO37" s="76">
        <f>BG37+AL37+AM37+AN37+AO37+AP37+AQ37+AS37+AT37+AU37+AV37+AW37+AX37+AY37+AZ37+BA37+BB37+BC37+BD37</f>
        <v>8400</v>
      </c>
      <c r="BP37" s="92">
        <f>SUM(BJ37:BO37)</f>
        <v>1942839</v>
      </c>
    </row>
    <row r="38" spans="1:72" ht="21" customHeight="1">
      <c r="A38" s="858"/>
      <c r="B38" s="849"/>
      <c r="C38" s="849"/>
      <c r="D38" s="157" t="s">
        <v>191</v>
      </c>
      <c r="E38" s="313">
        <v>2444</v>
      </c>
      <c r="F38" s="829"/>
      <c r="G38" s="8">
        <f t="shared" si="63"/>
        <v>823.08</v>
      </c>
      <c r="H38" s="8">
        <f t="shared" si="60"/>
        <v>99.38</v>
      </c>
      <c r="I38" s="8">
        <f t="shared" si="64"/>
        <v>922.46</v>
      </c>
      <c r="J38" s="451">
        <f t="shared" si="46"/>
        <v>2.8</v>
      </c>
      <c r="K38" s="8">
        <f>ROUND((AM38+AN38+AO38+AP38+AQ38)/E38,2)</f>
        <v>0</v>
      </c>
      <c r="L38" s="8">
        <f t="shared" si="65"/>
        <v>6.19</v>
      </c>
      <c r="M38" s="8">
        <f t="shared" si="35"/>
        <v>0</v>
      </c>
      <c r="N38" s="11">
        <f t="shared" si="66"/>
        <v>0</v>
      </c>
      <c r="O38" s="11">
        <f>ROUND(BF38/E38,2)</f>
        <v>13.05</v>
      </c>
      <c r="P38" s="453">
        <f t="shared" si="50"/>
        <v>1.2</v>
      </c>
      <c r="Q38" s="8">
        <f t="shared" si="67"/>
        <v>945.7</v>
      </c>
      <c r="R38" s="8">
        <f t="shared" ref="R38:R68" si="70">ROUND((Z38+AB38+AC38+AA38)/E38,2)</f>
        <v>66.66</v>
      </c>
      <c r="S38" s="8">
        <f t="shared" si="41"/>
        <v>0</v>
      </c>
      <c r="T38" s="627">
        <f t="shared" si="51"/>
        <v>1012.36</v>
      </c>
      <c r="U38" s="829"/>
      <c r="V38" s="15">
        <v>1545014</v>
      </c>
      <c r="W38" s="15">
        <f>ROUND(V38*0.302,0)</f>
        <v>466594</v>
      </c>
      <c r="X38" s="15">
        <v>186544</v>
      </c>
      <c r="Y38" s="15">
        <f>ROUND(X38*0.302,0)</f>
        <v>56336</v>
      </c>
      <c r="Z38" s="15">
        <v>85377</v>
      </c>
      <c r="AA38" s="15"/>
      <c r="AB38" s="15">
        <v>42745</v>
      </c>
      <c r="AC38" s="15">
        <v>34794</v>
      </c>
      <c r="AD38" s="15">
        <f>AL38-AK38-AG38-AF38</f>
        <v>4888</v>
      </c>
      <c r="AE38" s="15"/>
      <c r="AF38" s="15">
        <f>ROUND(AL38*0.05,0)</f>
        <v>489</v>
      </c>
      <c r="AG38" s="15">
        <f>ROUND(AL38*0.15,0)</f>
        <v>1466</v>
      </c>
      <c r="AH38" s="15"/>
      <c r="AI38" s="15"/>
      <c r="AJ38" s="15"/>
      <c r="AK38" s="15">
        <f t="shared" si="58"/>
        <v>2933</v>
      </c>
      <c r="AL38" s="15">
        <f>ROUND(4*E38,0)</f>
        <v>9776</v>
      </c>
      <c r="AM38" s="15"/>
      <c r="AN38" s="15"/>
      <c r="AO38" s="15"/>
      <c r="AP38" s="15"/>
      <c r="AQ38" s="15"/>
      <c r="AR38" s="827"/>
      <c r="AS38" s="15"/>
      <c r="AT38" s="15"/>
      <c r="AU38" s="15">
        <v>15120</v>
      </c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>
        <v>31894</v>
      </c>
      <c r="BG38" s="15"/>
      <c r="BH38" s="15">
        <f t="shared" ref="BH38:BH43" si="71">V38+W38+X38+Y38+Z38+AB38+AC38+AL38+AM38+AN38+AO38+AP38+AS38+AT38+AU38+AV38+AW38+AX38+AY38+AZ38+BA38+BB38+BC38+BD38+BE38+BF38+BG38+AQ38+AA38</f>
        <v>2474194</v>
      </c>
      <c r="BI38" s="447">
        <f t="shared" si="44"/>
        <v>1012.35</v>
      </c>
      <c r="BJ38" s="76">
        <f t="shared" si="68"/>
        <v>1731558</v>
      </c>
      <c r="BK38" s="76">
        <f t="shared" si="69"/>
        <v>522930</v>
      </c>
      <c r="BL38" s="76">
        <f>Z38+AB38+AC38+AA38</f>
        <v>162916</v>
      </c>
      <c r="BM38" s="76">
        <f>BF38</f>
        <v>31894</v>
      </c>
      <c r="BN38" s="76">
        <f>BE38</f>
        <v>0</v>
      </c>
      <c r="BO38" s="76">
        <f>BG38+AL38+AM38+AN38+AO38+AP38+AQ38+AS38+AT38+AU38+AV38+AW38+AX38+AY38+AZ38+BA38+BB38+BC38+BD38</f>
        <v>24896</v>
      </c>
      <c r="BP38" s="92">
        <f>SUM(BJ38:BO38)</f>
        <v>2474194</v>
      </c>
    </row>
    <row r="39" spans="1:72" ht="21" customHeight="1">
      <c r="A39" s="858"/>
      <c r="B39" s="849"/>
      <c r="C39" s="849"/>
      <c r="D39" s="157" t="s">
        <v>192</v>
      </c>
      <c r="E39" s="313">
        <v>1234</v>
      </c>
      <c r="F39" s="829"/>
      <c r="G39" s="8">
        <f t="shared" si="63"/>
        <v>823.08</v>
      </c>
      <c r="H39" s="8">
        <f>ROUND((X39+Y39)/E39,3)</f>
        <v>100.267</v>
      </c>
      <c r="I39" s="8">
        <f t="shared" si="64"/>
        <v>923.34699999999998</v>
      </c>
      <c r="J39" s="451">
        <f t="shared" si="46"/>
        <v>2.8</v>
      </c>
      <c r="K39" s="8">
        <f>ROUND((AM39+AN39+AO39+AP39+AQ39)/E39,3)</f>
        <v>0.48599999999999999</v>
      </c>
      <c r="L39" s="8">
        <f t="shared" si="65"/>
        <v>0</v>
      </c>
      <c r="M39" s="8">
        <f t="shared" si="35"/>
        <v>0</v>
      </c>
      <c r="N39" s="11">
        <f t="shared" si="66"/>
        <v>0</v>
      </c>
      <c r="O39" s="11">
        <f>ROUND(BF39/E39,3)</f>
        <v>29</v>
      </c>
      <c r="P39" s="453">
        <f t="shared" si="50"/>
        <v>1.2</v>
      </c>
      <c r="Q39" s="8">
        <f t="shared" si="67"/>
        <v>956.83299999999997</v>
      </c>
      <c r="R39" s="8">
        <f t="shared" si="70"/>
        <v>66.66</v>
      </c>
      <c r="S39" s="8">
        <f t="shared" si="41"/>
        <v>0</v>
      </c>
      <c r="T39" s="627">
        <f t="shared" si="51"/>
        <v>1023.4929999999999</v>
      </c>
      <c r="U39" s="829"/>
      <c r="V39" s="15">
        <v>780093</v>
      </c>
      <c r="W39" s="15">
        <f>ROUND(V39*0.302,0)</f>
        <v>235588</v>
      </c>
      <c r="X39" s="15">
        <v>95031</v>
      </c>
      <c r="Y39" s="15">
        <f>ROUND(X39*0.302,0)</f>
        <v>28699</v>
      </c>
      <c r="Z39" s="15">
        <v>43108</v>
      </c>
      <c r="AA39" s="15"/>
      <c r="AB39" s="15">
        <v>21583</v>
      </c>
      <c r="AC39" s="15">
        <v>17568</v>
      </c>
      <c r="AD39" s="15">
        <f>AL39-AK39-AG39-AF39</f>
        <v>2468</v>
      </c>
      <c r="AE39" s="15"/>
      <c r="AF39" s="15">
        <f>ROUND(AL39*0.05,0)</f>
        <v>247</v>
      </c>
      <c r="AG39" s="15">
        <f>ROUND(AL39*0.15,0)</f>
        <v>740</v>
      </c>
      <c r="AH39" s="15"/>
      <c r="AI39" s="15"/>
      <c r="AJ39" s="15"/>
      <c r="AK39" s="15">
        <f t="shared" si="58"/>
        <v>1481</v>
      </c>
      <c r="AL39" s="15">
        <f>ROUND(4*E39,0)</f>
        <v>4936</v>
      </c>
      <c r="AM39" s="15"/>
      <c r="AN39" s="15"/>
      <c r="AO39" s="15"/>
      <c r="AP39" s="15">
        <v>600</v>
      </c>
      <c r="AQ39" s="15"/>
      <c r="AR39" s="827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>
        <v>35786</v>
      </c>
      <c r="BG39" s="15"/>
      <c r="BH39" s="15">
        <f t="shared" si="71"/>
        <v>1262992</v>
      </c>
      <c r="BI39" s="447">
        <f t="shared" si="44"/>
        <v>1023.49</v>
      </c>
      <c r="BJ39" s="76">
        <f t="shared" si="68"/>
        <v>875124</v>
      </c>
      <c r="BK39" s="76">
        <f t="shared" si="69"/>
        <v>264287</v>
      </c>
      <c r="BL39" s="76">
        <f>Z39+AB39+AC39+AA39</f>
        <v>82259</v>
      </c>
      <c r="BM39" s="76">
        <f>BF39</f>
        <v>35786</v>
      </c>
      <c r="BN39" s="76">
        <f>BE39</f>
        <v>0</v>
      </c>
      <c r="BO39" s="76">
        <f>BG39+AL39+AM39+AN39+AO39+AP39+AQ39+AS39+AT39+AU39+AV39+AW39+AX39+AY39+AZ39+BA39+BB39+BC39+BD39</f>
        <v>5536</v>
      </c>
      <c r="BP39" s="92">
        <f>SUM(BJ39:BO39)</f>
        <v>1262992</v>
      </c>
    </row>
    <row r="40" spans="1:72" ht="21" customHeight="1">
      <c r="A40" s="858"/>
      <c r="B40" s="850"/>
      <c r="C40" s="850"/>
      <c r="D40" s="157" t="s">
        <v>193</v>
      </c>
      <c r="E40" s="313">
        <v>558</v>
      </c>
      <c r="F40" s="829"/>
      <c r="G40" s="8">
        <f t="shared" si="63"/>
        <v>823.08100000000002</v>
      </c>
      <c r="H40" s="8">
        <f>ROUND((X40+Y40)/E40,3)</f>
        <v>79.840999999999994</v>
      </c>
      <c r="I40" s="8">
        <f t="shared" si="64"/>
        <v>902.92200000000003</v>
      </c>
      <c r="J40" s="451">
        <f t="shared" si="46"/>
        <v>2.7989999999999999</v>
      </c>
      <c r="K40" s="8">
        <f>ROUND((AM40+AN40+AO40+AP40+AQ40)/E40,2)</f>
        <v>0</v>
      </c>
      <c r="L40" s="8">
        <f t="shared" si="65"/>
        <v>0</v>
      </c>
      <c r="M40" s="8">
        <f t="shared" si="35"/>
        <v>0</v>
      </c>
      <c r="N40" s="11">
        <f t="shared" si="66"/>
        <v>0</v>
      </c>
      <c r="O40" s="11">
        <f t="shared" ref="O40:O48" si="72">ROUND(BF40/E40,2)</f>
        <v>29</v>
      </c>
      <c r="P40" s="453">
        <f t="shared" si="50"/>
        <v>1.2010000000000001</v>
      </c>
      <c r="Q40" s="8">
        <f t="shared" si="67"/>
        <v>935.92200000000003</v>
      </c>
      <c r="R40" s="8">
        <f t="shared" si="70"/>
        <v>66.66</v>
      </c>
      <c r="S40" s="8">
        <f t="shared" si="41"/>
        <v>0</v>
      </c>
      <c r="T40" s="627">
        <f t="shared" si="51"/>
        <v>1002.582</v>
      </c>
      <c r="U40" s="829"/>
      <c r="V40" s="15">
        <v>352749</v>
      </c>
      <c r="W40" s="15">
        <f>ROUND(V40*0.302,0)</f>
        <v>106530</v>
      </c>
      <c r="X40" s="15">
        <v>34217</v>
      </c>
      <c r="Y40" s="15">
        <f>ROUND(X40*0.302,0)</f>
        <v>10334</v>
      </c>
      <c r="Z40" s="15">
        <v>19492</v>
      </c>
      <c r="AA40" s="15"/>
      <c r="AB40" s="15">
        <v>9758</v>
      </c>
      <c r="AC40" s="15">
        <v>7944</v>
      </c>
      <c r="AD40" s="15">
        <f>AL40-AK40-AG40-AF40</f>
        <v>1115</v>
      </c>
      <c r="AE40" s="15"/>
      <c r="AF40" s="15">
        <f>ROUND(AL40*0.05,0)</f>
        <v>112</v>
      </c>
      <c r="AG40" s="15">
        <f>ROUND(AL40*0.15,0)</f>
        <v>335</v>
      </c>
      <c r="AH40" s="15"/>
      <c r="AI40" s="15"/>
      <c r="AJ40" s="15"/>
      <c r="AK40" s="15">
        <f t="shared" si="58"/>
        <v>670</v>
      </c>
      <c r="AL40" s="15">
        <f>ROUND(4*E40,0)</f>
        <v>2232</v>
      </c>
      <c r="AM40" s="15"/>
      <c r="AN40" s="15"/>
      <c r="AO40" s="15"/>
      <c r="AP40" s="15"/>
      <c r="AQ40" s="15"/>
      <c r="AR40" s="827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>
        <v>16182</v>
      </c>
      <c r="BG40" s="15"/>
      <c r="BH40" s="15">
        <f t="shared" si="71"/>
        <v>559438</v>
      </c>
      <c r="BI40" s="447">
        <f>ROUND(BH40/E40,3)</f>
        <v>1002.577</v>
      </c>
      <c r="BJ40" s="76">
        <f t="shared" si="68"/>
        <v>386966</v>
      </c>
      <c r="BK40" s="76">
        <f t="shared" si="69"/>
        <v>116864</v>
      </c>
      <c r="BL40" s="76">
        <f>Z40+AB40+AC40+AA40</f>
        <v>37194</v>
      </c>
      <c r="BM40" s="76">
        <f>BF40</f>
        <v>16182</v>
      </c>
      <c r="BN40" s="76">
        <f>BE40</f>
        <v>0</v>
      </c>
      <c r="BO40" s="76">
        <f>BG40+AL40+AM40+AN40+AO40+AP40+AQ40+AS40+AT40+AU40+AV40+AW40+AX40+AY40+AZ40+BA40+BB40+BC40+BD40</f>
        <v>2232</v>
      </c>
      <c r="BP40" s="92">
        <f>SUM(BJ40:BO40)</f>
        <v>559438</v>
      </c>
    </row>
    <row r="41" spans="1:72" ht="60">
      <c r="A41" s="859"/>
      <c r="B41" s="9" t="s">
        <v>198</v>
      </c>
      <c r="C41" s="9" t="s">
        <v>196</v>
      </c>
      <c r="D41" s="157"/>
      <c r="E41" s="313">
        <v>28786</v>
      </c>
      <c r="F41" s="830"/>
      <c r="G41" s="8">
        <f t="shared" si="63"/>
        <v>311.42599999999999</v>
      </c>
      <c r="H41" s="8">
        <f>ROUND((X41+Y41)/E41,3)</f>
        <v>28.712</v>
      </c>
      <c r="I41" s="8">
        <f t="shared" si="64"/>
        <v>340.13799999999998</v>
      </c>
      <c r="J41" s="451">
        <f t="shared" si="46"/>
        <v>1.05</v>
      </c>
      <c r="K41" s="8">
        <f>ROUND((AM41+AN41+AO41+AP41+AQ41)/E41,3)</f>
        <v>0.313</v>
      </c>
      <c r="L41" s="8">
        <f>ROUND((AS41+AT41+AU41+AV41+AW41)/E41,3)</f>
        <v>0.83199999999999996</v>
      </c>
      <c r="M41" s="8">
        <f t="shared" si="35"/>
        <v>0</v>
      </c>
      <c r="N41" s="11">
        <f t="shared" si="66"/>
        <v>0</v>
      </c>
      <c r="O41" s="11">
        <f>ROUND(BF41/E41,3)</f>
        <v>1.0229999999999999</v>
      </c>
      <c r="P41" s="453">
        <f t="shared" si="50"/>
        <v>0.45</v>
      </c>
      <c r="Q41" s="8">
        <f t="shared" si="67"/>
        <v>343.80599999999998</v>
      </c>
      <c r="R41" s="8">
        <f>ROUND((Z41+AB41+AC41+AA41)/E41,3)</f>
        <v>22.654</v>
      </c>
      <c r="S41" s="8">
        <f t="shared" si="41"/>
        <v>0</v>
      </c>
      <c r="T41" s="627">
        <f t="shared" si="51"/>
        <v>366.46</v>
      </c>
      <c r="U41" s="830"/>
      <c r="V41" s="15">
        <f>6832419+52900</f>
        <v>6885319</v>
      </c>
      <c r="W41" s="15">
        <v>2079394.97</v>
      </c>
      <c r="X41" s="15">
        <v>634788</v>
      </c>
      <c r="Y41" s="15">
        <f>ROUND(X41*0.302,0)</f>
        <v>191706</v>
      </c>
      <c r="Z41" s="15">
        <v>377386</v>
      </c>
      <c r="AA41" s="15"/>
      <c r="AB41" s="15">
        <v>120936</v>
      </c>
      <c r="AC41" s="15">
        <v>153798</v>
      </c>
      <c r="AD41" s="15">
        <f>AL41-AK41-AG41-AF41</f>
        <v>21589</v>
      </c>
      <c r="AE41" s="15"/>
      <c r="AF41" s="15">
        <f>ROUND(AL41*0.05,0)</f>
        <v>2159</v>
      </c>
      <c r="AG41" s="15">
        <f>ROUND(AL41*0.15,0)</f>
        <v>6477</v>
      </c>
      <c r="AH41" s="15"/>
      <c r="AI41" s="15"/>
      <c r="AJ41" s="15"/>
      <c r="AK41" s="15">
        <f t="shared" si="58"/>
        <v>12954</v>
      </c>
      <c r="AL41" s="15">
        <v>43179</v>
      </c>
      <c r="AM41" s="15">
        <v>9000</v>
      </c>
      <c r="AN41" s="15"/>
      <c r="AO41" s="15"/>
      <c r="AP41" s="15"/>
      <c r="AQ41" s="15"/>
      <c r="AR41" s="828"/>
      <c r="AS41" s="15"/>
      <c r="AT41" s="15"/>
      <c r="AU41" s="15">
        <f>18425+5517</f>
        <v>23942</v>
      </c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>
        <v>29456.23</v>
      </c>
      <c r="BG41" s="15"/>
      <c r="BH41" s="15">
        <f t="shared" si="71"/>
        <v>10548905.200000001</v>
      </c>
      <c r="BI41" s="447">
        <f t="shared" ref="BI41:BI46" si="73">ROUND(BH41/E41,2)</f>
        <v>366.46</v>
      </c>
      <c r="BJ41" s="76">
        <f t="shared" si="68"/>
        <v>7520107</v>
      </c>
      <c r="BK41" s="76">
        <f t="shared" si="69"/>
        <v>2271100.9699999997</v>
      </c>
      <c r="BL41" s="76">
        <f>Z41+AB41+AC41+AA41</f>
        <v>652120</v>
      </c>
      <c r="BM41" s="76">
        <f>BF41</f>
        <v>29456.23</v>
      </c>
      <c r="BN41" s="76">
        <f>BE41</f>
        <v>0</v>
      </c>
      <c r="BO41" s="76">
        <f>BG41+AL41+AM41+AN41+AO41+AP41+AQ41+AS41+AT41+AU41+AV41+AW41+AX41+AY41+AZ41+BA41+BB41+BC41+BD41</f>
        <v>76121</v>
      </c>
      <c r="BP41" s="92">
        <f>SUM(BJ41:BO41)</f>
        <v>10548905.199999999</v>
      </c>
    </row>
    <row r="42" spans="1:72" ht="27.75" customHeight="1">
      <c r="A42" s="109" t="s">
        <v>251</v>
      </c>
      <c r="B42" s="29"/>
      <c r="C42" s="29" t="s">
        <v>252</v>
      </c>
      <c r="D42" s="158"/>
      <c r="E42" s="32">
        <v>41156</v>
      </c>
      <c r="F42" s="159"/>
      <c r="G42" s="30">
        <f t="shared" si="63"/>
        <v>341.53699999999998</v>
      </c>
      <c r="H42" s="30">
        <f>ROUND((X42+Y42)/E42,3)</f>
        <v>34.780999999999999</v>
      </c>
      <c r="I42" s="30">
        <f t="shared" si="64"/>
        <v>376.31799999999998</v>
      </c>
      <c r="J42" s="30">
        <f>ROUND((AL42-AK42)/E42,2)</f>
        <v>1.1599999999999999</v>
      </c>
      <c r="K42" s="30">
        <f>ROUND((AM42+AN42+AO42+AP42+AQ42)/E42,3)</f>
        <v>0.248</v>
      </c>
      <c r="L42" s="30">
        <f t="shared" si="65"/>
        <v>0.95</v>
      </c>
      <c r="M42" s="30">
        <f t="shared" si="35"/>
        <v>0</v>
      </c>
      <c r="N42" s="33">
        <f t="shared" si="66"/>
        <v>0</v>
      </c>
      <c r="O42" s="33">
        <f t="shared" si="72"/>
        <v>2.89</v>
      </c>
      <c r="P42" s="33">
        <f>ROUND(AK42/E42,3)</f>
        <v>0.495</v>
      </c>
      <c r="Q42" s="30">
        <f t="shared" si="67"/>
        <v>382.06099999999998</v>
      </c>
      <c r="R42" s="30">
        <f t="shared" si="70"/>
        <v>25.86</v>
      </c>
      <c r="S42" s="30">
        <f t="shared" si="41"/>
        <v>0</v>
      </c>
      <c r="T42" s="627">
        <f t="shared" si="51"/>
        <v>407.92099999999999</v>
      </c>
      <c r="U42" s="159"/>
      <c r="V42" s="24">
        <f t="shared" ref="V42:AG42" si="74">SUM(V37:V41)</f>
        <v>10795900</v>
      </c>
      <c r="W42" s="24">
        <f t="shared" si="74"/>
        <v>3260389.9699999997</v>
      </c>
      <c r="X42" s="24">
        <f t="shared" si="74"/>
        <v>1099420</v>
      </c>
      <c r="Y42" s="24">
        <f t="shared" si="74"/>
        <v>332025</v>
      </c>
      <c r="Z42" s="24">
        <f t="shared" si="74"/>
        <v>593483</v>
      </c>
      <c r="AA42" s="24">
        <f t="shared" si="74"/>
        <v>0</v>
      </c>
      <c r="AB42" s="24">
        <f t="shared" si="74"/>
        <v>229127</v>
      </c>
      <c r="AC42" s="24">
        <f t="shared" si="74"/>
        <v>241865</v>
      </c>
      <c r="AD42" s="24">
        <f t="shared" si="74"/>
        <v>33960</v>
      </c>
      <c r="AE42" s="24">
        <f t="shared" si="74"/>
        <v>0</v>
      </c>
      <c r="AF42" s="24">
        <f t="shared" si="74"/>
        <v>3397</v>
      </c>
      <c r="AG42" s="24">
        <f t="shared" si="74"/>
        <v>10188</v>
      </c>
      <c r="AH42" s="24">
        <f t="shared" ref="AH42:BE42" si="75">AH37+AH38+AH39+AH40+AH41</f>
        <v>0</v>
      </c>
      <c r="AI42" s="24">
        <f t="shared" si="75"/>
        <v>0</v>
      </c>
      <c r="AJ42" s="24">
        <f t="shared" si="75"/>
        <v>0</v>
      </c>
      <c r="AK42" s="24">
        <f t="shared" si="75"/>
        <v>20378</v>
      </c>
      <c r="AL42" s="24">
        <f>AL37+AL38+AL39+AL40+AL41</f>
        <v>67923</v>
      </c>
      <c r="AM42" s="24">
        <f t="shared" si="75"/>
        <v>9000</v>
      </c>
      <c r="AN42" s="24">
        <f t="shared" si="75"/>
        <v>0</v>
      </c>
      <c r="AO42" s="24">
        <f t="shared" si="75"/>
        <v>0</v>
      </c>
      <c r="AP42" s="24">
        <f t="shared" si="75"/>
        <v>1200</v>
      </c>
      <c r="AQ42" s="24">
        <f t="shared" si="75"/>
        <v>0</v>
      </c>
      <c r="AR42" s="24"/>
      <c r="AS42" s="24">
        <f t="shared" si="75"/>
        <v>0</v>
      </c>
      <c r="AT42" s="24">
        <f t="shared" si="75"/>
        <v>0</v>
      </c>
      <c r="AU42" s="24">
        <f t="shared" si="75"/>
        <v>39062</v>
      </c>
      <c r="AV42" s="24">
        <f t="shared" si="75"/>
        <v>0</v>
      </c>
      <c r="AW42" s="24">
        <f t="shared" si="75"/>
        <v>0</v>
      </c>
      <c r="AX42" s="24">
        <f t="shared" si="75"/>
        <v>0</v>
      </c>
      <c r="AY42" s="24">
        <f t="shared" si="75"/>
        <v>0</v>
      </c>
      <c r="AZ42" s="24">
        <f t="shared" si="75"/>
        <v>0</v>
      </c>
      <c r="BA42" s="24">
        <f t="shared" si="75"/>
        <v>0</v>
      </c>
      <c r="BB42" s="24">
        <f t="shared" si="75"/>
        <v>0</v>
      </c>
      <c r="BC42" s="24">
        <f t="shared" si="75"/>
        <v>0</v>
      </c>
      <c r="BD42" s="24">
        <f t="shared" si="75"/>
        <v>0</v>
      </c>
      <c r="BE42" s="24">
        <f t="shared" si="75"/>
        <v>0</v>
      </c>
      <c r="BF42" s="24">
        <f>SUM(BF37:BF41)</f>
        <v>118973.23</v>
      </c>
      <c r="BG42" s="24">
        <f>BG37+BG38+BG39+BG40+BG41</f>
        <v>0</v>
      </c>
      <c r="BH42" s="24">
        <f>V42+W42+X42+Y42+Z42+AB42+AC42+AL42+AM42+AN42+AO42+AP42+AS42+AT42+AU42+AV42+AW42+AX42+AY42+AZ42+BA42+BB42+BC42+BD42+BE42+BF42+BG42+AQ42+AA42</f>
        <v>16788368.199999999</v>
      </c>
      <c r="BI42" s="447">
        <f t="shared" si="73"/>
        <v>407.92</v>
      </c>
      <c r="BJ42" s="24">
        <f t="shared" ref="BJ42:BP42" si="76">BJ37+BJ38+BJ39+BJ40+BJ41</f>
        <v>11895320</v>
      </c>
      <c r="BK42" s="24">
        <f t="shared" si="76"/>
        <v>3592414.9699999997</v>
      </c>
      <c r="BL42" s="24">
        <f t="shared" si="76"/>
        <v>1064475</v>
      </c>
      <c r="BM42" s="24">
        <f t="shared" si="76"/>
        <v>118973.23</v>
      </c>
      <c r="BN42" s="24">
        <f t="shared" si="76"/>
        <v>0</v>
      </c>
      <c r="BO42" s="24">
        <f t="shared" si="76"/>
        <v>117185</v>
      </c>
      <c r="BP42" s="24">
        <f t="shared" si="76"/>
        <v>16788368.199999999</v>
      </c>
      <c r="BQ42" s="621"/>
      <c r="BR42" s="621"/>
      <c r="BS42" s="621"/>
      <c r="BT42" s="621"/>
    </row>
    <row r="43" spans="1:72" ht="60.75" customHeight="1">
      <c r="A43" s="857" t="s">
        <v>194</v>
      </c>
      <c r="B43" s="648" t="s">
        <v>197</v>
      </c>
      <c r="C43" s="648" t="s">
        <v>189</v>
      </c>
      <c r="D43" s="157" t="s">
        <v>190</v>
      </c>
      <c r="E43" s="313">
        <v>172</v>
      </c>
      <c r="F43" s="671" t="s">
        <v>74</v>
      </c>
      <c r="G43" s="8">
        <f t="shared" si="63"/>
        <v>455.2</v>
      </c>
      <c r="H43" s="8">
        <f t="shared" ref="H43:H54" si="77">ROUND((X43+Y43)/E43,2)</f>
        <v>0</v>
      </c>
      <c r="I43" s="8">
        <f t="shared" ref="I43:I48" si="78">G43+H43</f>
        <v>455.2</v>
      </c>
      <c r="J43" s="451">
        <f t="shared" si="46"/>
        <v>1.8080000000000001</v>
      </c>
      <c r="K43" s="8">
        <f t="shared" ref="K43:K48" si="79">ROUND((AM43+AN43+AO43+AP43+AQ43)/E43,2)</f>
        <v>0</v>
      </c>
      <c r="L43" s="8">
        <f t="shared" si="65"/>
        <v>0</v>
      </c>
      <c r="M43" s="8">
        <f t="shared" si="35"/>
        <v>0</v>
      </c>
      <c r="N43" s="11">
        <f t="shared" si="66"/>
        <v>0</v>
      </c>
      <c r="O43" s="11">
        <f t="shared" si="72"/>
        <v>2</v>
      </c>
      <c r="P43" s="453">
        <f t="shared" si="50"/>
        <v>0.77300000000000002</v>
      </c>
      <c r="Q43" s="8">
        <f t="shared" ref="Q43:Q48" si="80">P43+O43+N43+M43+L43+K43+J43+I43</f>
        <v>459.78100000000001</v>
      </c>
      <c r="R43" s="8">
        <f t="shared" si="70"/>
        <v>0</v>
      </c>
      <c r="S43" s="8">
        <f t="shared" si="41"/>
        <v>0</v>
      </c>
      <c r="T43" s="627">
        <f t="shared" si="51"/>
        <v>459.78100000000001</v>
      </c>
      <c r="U43" s="671" t="s">
        <v>74</v>
      </c>
      <c r="V43" s="15">
        <v>60134</v>
      </c>
      <c r="W43" s="15">
        <f>ROUND(V43*0.302,0)+0.45</f>
        <v>18160.45</v>
      </c>
      <c r="X43" s="15"/>
      <c r="Y43" s="15"/>
      <c r="Z43" s="15"/>
      <c r="AA43" s="15"/>
      <c r="AB43" s="15"/>
      <c r="AC43" s="15"/>
      <c r="AD43" s="15">
        <v>222</v>
      </c>
      <c r="AE43" s="15"/>
      <c r="AF43" s="15">
        <v>22</v>
      </c>
      <c r="AG43" s="15">
        <v>67</v>
      </c>
      <c r="AH43" s="15"/>
      <c r="AI43" s="15"/>
      <c r="AJ43" s="15"/>
      <c r="AK43" s="15">
        <v>133</v>
      </c>
      <c r="AL43" s="15">
        <f>SUM(AD43:AK43)</f>
        <v>444</v>
      </c>
      <c r="AM43" s="15"/>
      <c r="AN43" s="15"/>
      <c r="AO43" s="15"/>
      <c r="AP43" s="15"/>
      <c r="AQ43" s="15"/>
      <c r="AR43" s="705" t="s">
        <v>74</v>
      </c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>
        <f>ROUND(E43*2,0)</f>
        <v>344</v>
      </c>
      <c r="BG43" s="15"/>
      <c r="BH43" s="15">
        <f t="shared" si="71"/>
        <v>79082.45</v>
      </c>
      <c r="BI43" s="447">
        <f t="shared" si="73"/>
        <v>459.78</v>
      </c>
      <c r="BJ43" s="76">
        <f t="shared" si="68"/>
        <v>60134</v>
      </c>
      <c r="BK43" s="76">
        <f t="shared" si="69"/>
        <v>18160.45</v>
      </c>
      <c r="BL43" s="76">
        <f>Z43+AB43+AC43+AA43</f>
        <v>0</v>
      </c>
      <c r="BM43" s="76">
        <f>BF43</f>
        <v>344</v>
      </c>
      <c r="BN43" s="76">
        <f>BE43</f>
        <v>0</v>
      </c>
      <c r="BO43" s="76">
        <f>BG43+AL43+AM43+AN43+AO43+AP43+AQ43+AS43+AT43+AU43+AV43+AW43+AX43+AY43+AZ43+BA43+BB43+BC43+BD43</f>
        <v>444</v>
      </c>
      <c r="BP43" s="92">
        <f>SUM(BJ43:BO43)</f>
        <v>79082.45</v>
      </c>
    </row>
    <row r="44" spans="1:72" ht="15" hidden="1" customHeight="1" outlineLevel="1">
      <c r="A44" s="858"/>
      <c r="B44" s="849"/>
      <c r="C44" s="849"/>
      <c r="D44" s="157" t="s">
        <v>191</v>
      </c>
      <c r="E44" s="10">
        <v>0</v>
      </c>
      <c r="F44" s="829"/>
      <c r="G44" s="8" t="e">
        <f t="shared" si="63"/>
        <v>#DIV/0!</v>
      </c>
      <c r="H44" s="8" t="e">
        <f t="shared" si="77"/>
        <v>#DIV/0!</v>
      </c>
      <c r="I44" s="8" t="e">
        <f t="shared" si="78"/>
        <v>#DIV/0!</v>
      </c>
      <c r="J44" s="451" t="e">
        <f t="shared" si="46"/>
        <v>#DIV/0!</v>
      </c>
      <c r="K44" s="8" t="e">
        <f t="shared" si="79"/>
        <v>#DIV/0!</v>
      </c>
      <c r="L44" s="8" t="e">
        <f t="shared" si="65"/>
        <v>#DIV/0!</v>
      </c>
      <c r="M44" s="8" t="e">
        <f t="shared" si="35"/>
        <v>#DIV/0!</v>
      </c>
      <c r="N44" s="11" t="e">
        <f t="shared" si="66"/>
        <v>#DIV/0!</v>
      </c>
      <c r="O44" s="11" t="e">
        <f t="shared" si="72"/>
        <v>#DIV/0!</v>
      </c>
      <c r="P44" s="453" t="e">
        <f t="shared" si="50"/>
        <v>#DIV/0!</v>
      </c>
      <c r="Q44" s="8" t="e">
        <f t="shared" si="80"/>
        <v>#DIV/0!</v>
      </c>
      <c r="R44" s="8" t="e">
        <f t="shared" si="70"/>
        <v>#DIV/0!</v>
      </c>
      <c r="S44" s="8" t="e">
        <f t="shared" si="41"/>
        <v>#DIV/0!</v>
      </c>
      <c r="T44" s="627" t="e">
        <f t="shared" si="51"/>
        <v>#DIV/0!</v>
      </c>
      <c r="U44" s="829"/>
      <c r="V44" s="15">
        <v>0</v>
      </c>
      <c r="W44" s="15">
        <f>ROUND(V44*0.302,0)</f>
        <v>0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>
        <f>SUM(AD44:AK44)</f>
        <v>0</v>
      </c>
      <c r="AM44" s="15"/>
      <c r="AN44" s="15"/>
      <c r="AO44" s="15"/>
      <c r="AP44" s="15"/>
      <c r="AQ44" s="15"/>
      <c r="AR44" s="827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>
        <f>ROUND(E44*9,0)</f>
        <v>0</v>
      </c>
      <c r="BG44" s="15"/>
      <c r="BH44" s="15">
        <f>V44+W44+X44+Y44+Z44+AB44+AC44+AL44+AM44+AN44+AO44+AP44+AS44+AT44+AU44+AV44+AW44+AX44+AY44+AZ44+BA44+BB44+BC44+BD44+BE44+BF44+BG44+AQ44</f>
        <v>0</v>
      </c>
      <c r="BI44" s="447" t="e">
        <f t="shared" si="73"/>
        <v>#DIV/0!</v>
      </c>
      <c r="BJ44" s="76">
        <v>0</v>
      </c>
      <c r="BK44" s="76">
        <f t="shared" si="69"/>
        <v>0</v>
      </c>
      <c r="BL44" s="76">
        <f>Z44+AB44+AC44+AA44</f>
        <v>0</v>
      </c>
      <c r="BM44" s="76">
        <f>BF44</f>
        <v>0</v>
      </c>
      <c r="BN44" s="76">
        <f>BE44</f>
        <v>0</v>
      </c>
      <c r="BO44" s="76">
        <f>BG44+AL44+AM44+AN44+AO44+AP44+AQ44+AS44+AT44+AU44+AV44+AW44+AX44+AY44+AZ44+BA44+BB44+BC44+BD44</f>
        <v>0</v>
      </c>
      <c r="BP44" s="92">
        <f>SUM(BJ44:BO44)</f>
        <v>0</v>
      </c>
    </row>
    <row r="45" spans="1:72" ht="15" hidden="1" customHeight="1" outlineLevel="1">
      <c r="A45" s="858"/>
      <c r="B45" s="849"/>
      <c r="C45" s="849"/>
      <c r="D45" s="157" t="s">
        <v>192</v>
      </c>
      <c r="E45" s="10">
        <v>0</v>
      </c>
      <c r="F45" s="829"/>
      <c r="G45" s="8" t="e">
        <f t="shared" si="63"/>
        <v>#DIV/0!</v>
      </c>
      <c r="H45" s="8" t="e">
        <f t="shared" si="77"/>
        <v>#DIV/0!</v>
      </c>
      <c r="I45" s="8" t="e">
        <f t="shared" si="78"/>
        <v>#DIV/0!</v>
      </c>
      <c r="J45" s="451" t="e">
        <f t="shared" si="46"/>
        <v>#DIV/0!</v>
      </c>
      <c r="K45" s="8" t="e">
        <f t="shared" si="79"/>
        <v>#DIV/0!</v>
      </c>
      <c r="L45" s="8" t="e">
        <f t="shared" si="65"/>
        <v>#DIV/0!</v>
      </c>
      <c r="M45" s="8" t="e">
        <f t="shared" si="35"/>
        <v>#DIV/0!</v>
      </c>
      <c r="N45" s="11" t="e">
        <f t="shared" si="66"/>
        <v>#DIV/0!</v>
      </c>
      <c r="O45" s="11" t="e">
        <f t="shared" si="72"/>
        <v>#DIV/0!</v>
      </c>
      <c r="P45" s="453" t="e">
        <f t="shared" si="50"/>
        <v>#DIV/0!</v>
      </c>
      <c r="Q45" s="8" t="e">
        <f t="shared" si="80"/>
        <v>#DIV/0!</v>
      </c>
      <c r="R45" s="8" t="e">
        <f t="shared" si="70"/>
        <v>#DIV/0!</v>
      </c>
      <c r="S45" s="8" t="e">
        <f t="shared" si="41"/>
        <v>#DIV/0!</v>
      </c>
      <c r="T45" s="627" t="e">
        <f t="shared" si="51"/>
        <v>#DIV/0!</v>
      </c>
      <c r="U45" s="829"/>
      <c r="V45" s="15">
        <v>0</v>
      </c>
      <c r="W45" s="15">
        <f>ROUND(V45*0.302,0)</f>
        <v>0</v>
      </c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>
        <f>SUM(AD45:AK45)</f>
        <v>0</v>
      </c>
      <c r="AM45" s="15"/>
      <c r="AN45" s="15"/>
      <c r="AO45" s="15"/>
      <c r="AP45" s="15"/>
      <c r="AQ45" s="15"/>
      <c r="AR45" s="827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>
        <f>ROUND(E45*20,0)</f>
        <v>0</v>
      </c>
      <c r="BG45" s="15"/>
      <c r="BH45" s="15">
        <f>V45+W45+X45+Y45+Z45+AB45+AC45+AL45+AM45+AN45+AO45+AP45+AS45+AT45+AU45+AV45+AW45+AX45+AY45+AZ45+BA45+BB45+BC45+BD45+BE45+BF45+BG45+AQ45</f>
        <v>0</v>
      </c>
      <c r="BI45" s="447" t="e">
        <f t="shared" si="73"/>
        <v>#DIV/0!</v>
      </c>
      <c r="BJ45" s="76">
        <v>0</v>
      </c>
      <c r="BK45" s="76">
        <f t="shared" si="69"/>
        <v>0</v>
      </c>
      <c r="BL45" s="76">
        <f>Z45+AB45+AC45+AA45</f>
        <v>0</v>
      </c>
      <c r="BM45" s="76">
        <f>BF45</f>
        <v>0</v>
      </c>
      <c r="BN45" s="76">
        <f>BE45</f>
        <v>0</v>
      </c>
      <c r="BO45" s="76">
        <f>BG45+AL45+AM45+AN45+AO45+AP45+AQ45+AS45+AT45+AU45+AV45+AW45+AX45+AY45+AZ45+BA45+BB45+BC45+BD45</f>
        <v>0</v>
      </c>
      <c r="BP45" s="92">
        <f>SUM(BJ45:BO45)</f>
        <v>0</v>
      </c>
    </row>
    <row r="46" spans="1:72" ht="15" hidden="1" customHeight="1" outlineLevel="1">
      <c r="A46" s="858"/>
      <c r="B46" s="850"/>
      <c r="C46" s="850"/>
      <c r="D46" s="157" t="s">
        <v>193</v>
      </c>
      <c r="E46" s="10">
        <v>0</v>
      </c>
      <c r="F46" s="829"/>
      <c r="G46" s="8" t="e">
        <f t="shared" si="63"/>
        <v>#DIV/0!</v>
      </c>
      <c r="H46" s="8" t="e">
        <f t="shared" si="77"/>
        <v>#DIV/0!</v>
      </c>
      <c r="I46" s="8" t="e">
        <f t="shared" si="78"/>
        <v>#DIV/0!</v>
      </c>
      <c r="J46" s="451" t="e">
        <f t="shared" si="46"/>
        <v>#DIV/0!</v>
      </c>
      <c r="K46" s="8" t="e">
        <f t="shared" si="79"/>
        <v>#DIV/0!</v>
      </c>
      <c r="L46" s="8" t="e">
        <f t="shared" si="65"/>
        <v>#DIV/0!</v>
      </c>
      <c r="M46" s="8" t="e">
        <f t="shared" si="35"/>
        <v>#DIV/0!</v>
      </c>
      <c r="N46" s="11" t="e">
        <f t="shared" si="66"/>
        <v>#DIV/0!</v>
      </c>
      <c r="O46" s="11" t="e">
        <f t="shared" si="72"/>
        <v>#DIV/0!</v>
      </c>
      <c r="P46" s="453" t="e">
        <f t="shared" si="50"/>
        <v>#DIV/0!</v>
      </c>
      <c r="Q46" s="8" t="e">
        <f t="shared" si="80"/>
        <v>#DIV/0!</v>
      </c>
      <c r="R46" s="8" t="e">
        <f t="shared" si="70"/>
        <v>#DIV/0!</v>
      </c>
      <c r="S46" s="8" t="e">
        <f t="shared" si="41"/>
        <v>#DIV/0!</v>
      </c>
      <c r="T46" s="627" t="e">
        <f t="shared" si="51"/>
        <v>#DIV/0!</v>
      </c>
      <c r="U46" s="829"/>
      <c r="V46" s="15">
        <v>0</v>
      </c>
      <c r="W46" s="15">
        <f>ROUND(V46*0.302,0)</f>
        <v>0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>
        <f>SUM(AD46:AK46)</f>
        <v>0</v>
      </c>
      <c r="AM46" s="15"/>
      <c r="AN46" s="15"/>
      <c r="AO46" s="15"/>
      <c r="AP46" s="15"/>
      <c r="AQ46" s="15"/>
      <c r="AR46" s="827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>
        <f>ROUND(E46*20,0)</f>
        <v>0</v>
      </c>
      <c r="BG46" s="15"/>
      <c r="BH46" s="15">
        <f>V46+W46+X46+Y46+Z46+AB46+AC46+AL46+AM46+AN46+AO46+AP46+AS46+AT46+AU46+AV46+AW46+AX46+AY46+AZ46+BA46+BB46+BC46+BD46+BE46+BF46+BG46+AQ46</f>
        <v>0</v>
      </c>
      <c r="BI46" s="447" t="e">
        <f t="shared" si="73"/>
        <v>#DIV/0!</v>
      </c>
      <c r="BJ46" s="76">
        <v>0</v>
      </c>
      <c r="BK46" s="76">
        <f t="shared" si="69"/>
        <v>0</v>
      </c>
      <c r="BL46" s="76">
        <f>Z46+AB46+AC46+AA46</f>
        <v>0</v>
      </c>
      <c r="BM46" s="76">
        <f>BF46</f>
        <v>0</v>
      </c>
      <c r="BN46" s="76">
        <f>BE46</f>
        <v>0</v>
      </c>
      <c r="BO46" s="76">
        <f>BG46+AL46+AM46+AN46+AO46+AP46+AQ46+AS46+AT46+AU46+AV46+AW46+AX46+AY46+AZ46+BA46+BB46+BC46+BD46</f>
        <v>0</v>
      </c>
      <c r="BP46" s="92">
        <f>SUM(BJ46:BO46)</f>
        <v>0</v>
      </c>
    </row>
    <row r="47" spans="1:72" ht="69.75" customHeight="1" collapsed="1">
      <c r="A47" s="859"/>
      <c r="B47" s="9" t="s">
        <v>198</v>
      </c>
      <c r="C47" s="9" t="s">
        <v>196</v>
      </c>
      <c r="D47" s="157"/>
      <c r="E47" s="10">
        <v>601</v>
      </c>
      <c r="F47" s="830"/>
      <c r="G47" s="8">
        <f>ROUND((V47+W47)/E47,3)</f>
        <v>228.262</v>
      </c>
      <c r="H47" s="8">
        <f t="shared" si="77"/>
        <v>0</v>
      </c>
      <c r="I47" s="8">
        <f t="shared" si="78"/>
        <v>228.262</v>
      </c>
      <c r="J47" s="451">
        <f t="shared" si="46"/>
        <v>1.131</v>
      </c>
      <c r="K47" s="8">
        <f t="shared" si="79"/>
        <v>0</v>
      </c>
      <c r="L47" s="8">
        <f t="shared" si="65"/>
        <v>0</v>
      </c>
      <c r="M47" s="8">
        <f t="shared" si="35"/>
        <v>0</v>
      </c>
      <c r="N47" s="11">
        <f t="shared" si="66"/>
        <v>0</v>
      </c>
      <c r="O47" s="11">
        <f t="shared" si="72"/>
        <v>1</v>
      </c>
      <c r="P47" s="453">
        <f t="shared" si="50"/>
        <v>0.38800000000000001</v>
      </c>
      <c r="Q47" s="8">
        <f t="shared" si="80"/>
        <v>230.78100000000001</v>
      </c>
      <c r="R47" s="8">
        <f t="shared" si="70"/>
        <v>0</v>
      </c>
      <c r="S47" s="8">
        <f t="shared" si="41"/>
        <v>0</v>
      </c>
      <c r="T47" s="627">
        <f t="shared" si="51"/>
        <v>230.78100000000001</v>
      </c>
      <c r="U47" s="830"/>
      <c r="V47" s="15">
        <v>105365.25</v>
      </c>
      <c r="W47" s="15">
        <f>ROUND(V47*0.302,0)</f>
        <v>31820</v>
      </c>
      <c r="X47" s="15"/>
      <c r="Y47" s="15"/>
      <c r="Z47" s="15"/>
      <c r="AA47" s="15"/>
      <c r="AB47" s="15"/>
      <c r="AC47" s="15"/>
      <c r="AD47" s="15">
        <v>524</v>
      </c>
      <c r="AE47" s="15"/>
      <c r="AF47" s="15">
        <v>39</v>
      </c>
      <c r="AG47" s="15">
        <v>117</v>
      </c>
      <c r="AH47" s="15"/>
      <c r="AI47" s="15"/>
      <c r="AJ47" s="15"/>
      <c r="AK47" s="15">
        <v>233</v>
      </c>
      <c r="AL47" s="15">
        <f>SUM(AD47:AK47)</f>
        <v>913</v>
      </c>
      <c r="AM47" s="15"/>
      <c r="AN47" s="15"/>
      <c r="AO47" s="15"/>
      <c r="AP47" s="15"/>
      <c r="AQ47" s="15"/>
      <c r="AR47" s="828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>
        <f>BF48-BF43-BF44-BF45-BF46</f>
        <v>600</v>
      </c>
      <c r="BG47" s="15"/>
      <c r="BH47" s="15">
        <f t="shared" ref="BH47:BH78" si="81">V47+W47+X47+Y47+Z47+AB47+AC47+AL47+AM47+AN47+AO47+AP47+AS47+AT47+AU47+AV47+AW47+AX47+AY47+AZ47+BA47+BB47+BC47+BD47+BE47+BF47+BG47+AQ47+AA47</f>
        <v>138698.25</v>
      </c>
      <c r="BI47" s="447">
        <f>ROUND(BH47/E47,3)</f>
        <v>230.779</v>
      </c>
      <c r="BJ47" s="76">
        <f t="shared" si="68"/>
        <v>105365.25</v>
      </c>
      <c r="BK47" s="76">
        <f t="shared" si="69"/>
        <v>31820</v>
      </c>
      <c r="BL47" s="76">
        <f>Z47+AB47+AC47+AA47</f>
        <v>0</v>
      </c>
      <c r="BM47" s="76">
        <f>BF47</f>
        <v>600</v>
      </c>
      <c r="BN47" s="76">
        <f>BE47</f>
        <v>0</v>
      </c>
      <c r="BO47" s="76">
        <f>BG47+AL47+AM47+AN47+AO47+AP47+AQ47+AS47+AT47+AU47+AV47+AW47+AX47+AY47+AZ47+BA47+BB47+BC47+BD47</f>
        <v>913</v>
      </c>
      <c r="BP47" s="92">
        <f>SUM(BJ47:BO47)</f>
        <v>138698.25</v>
      </c>
    </row>
    <row r="48" spans="1:72" ht="27.75" customHeight="1">
      <c r="A48" s="109" t="s">
        <v>251</v>
      </c>
      <c r="B48" s="29"/>
      <c r="C48" s="29" t="s">
        <v>252</v>
      </c>
      <c r="D48" s="158"/>
      <c r="E48" s="32">
        <v>944</v>
      </c>
      <c r="F48" s="159"/>
      <c r="G48" s="30">
        <f>ROUND((V48+W48)/E48,2)</f>
        <v>228.26</v>
      </c>
      <c r="H48" s="30">
        <f t="shared" si="77"/>
        <v>0</v>
      </c>
      <c r="I48" s="30">
        <f t="shared" si="78"/>
        <v>228.26</v>
      </c>
      <c r="J48" s="30">
        <f>ROUND((AL48-AK48)/E48,2)</f>
        <v>1.05</v>
      </c>
      <c r="K48" s="30">
        <f t="shared" si="79"/>
        <v>0</v>
      </c>
      <c r="L48" s="30">
        <f t="shared" si="65"/>
        <v>0</v>
      </c>
      <c r="M48" s="30">
        <f t="shared" si="35"/>
        <v>0</v>
      </c>
      <c r="N48" s="33">
        <f t="shared" si="66"/>
        <v>0</v>
      </c>
      <c r="O48" s="33">
        <f t="shared" si="72"/>
        <v>1</v>
      </c>
      <c r="P48" s="33">
        <f>ROUND(AK48/E48,3)</f>
        <v>0.38800000000000001</v>
      </c>
      <c r="Q48" s="30">
        <f t="shared" si="80"/>
        <v>230.69799999999998</v>
      </c>
      <c r="R48" s="30">
        <f t="shared" si="70"/>
        <v>0</v>
      </c>
      <c r="S48" s="30">
        <f t="shared" si="41"/>
        <v>0</v>
      </c>
      <c r="T48" s="627">
        <f t="shared" si="51"/>
        <v>230.69799999999998</v>
      </c>
      <c r="U48" s="159"/>
      <c r="V48" s="24">
        <f>SUM(V43:V47)</f>
        <v>165499.25</v>
      </c>
      <c r="W48" s="24">
        <f>SUM(W43:W47)</f>
        <v>49980.45</v>
      </c>
      <c r="X48" s="24">
        <f>SUM(X43:X47)</f>
        <v>0</v>
      </c>
      <c r="Y48" s="24">
        <f>SUM(Y43:Y47)</f>
        <v>0</v>
      </c>
      <c r="Z48" s="24">
        <f t="shared" ref="Z48:BG48" si="82">Z43+Z44+Z45+Z46+Z47</f>
        <v>0</v>
      </c>
      <c r="AA48" s="24">
        <f t="shared" si="82"/>
        <v>0</v>
      </c>
      <c r="AB48" s="24">
        <f t="shared" si="82"/>
        <v>0</v>
      </c>
      <c r="AC48" s="24">
        <f t="shared" si="82"/>
        <v>0</v>
      </c>
      <c r="AD48" s="24">
        <f>AD43+AD47</f>
        <v>746</v>
      </c>
      <c r="AE48" s="24">
        <f t="shared" ref="AE48:AK48" si="83">AE43+AE47</f>
        <v>0</v>
      </c>
      <c r="AF48" s="24">
        <f t="shared" si="83"/>
        <v>61</v>
      </c>
      <c r="AG48" s="24">
        <f t="shared" si="83"/>
        <v>184</v>
      </c>
      <c r="AH48" s="24">
        <f t="shared" si="83"/>
        <v>0</v>
      </c>
      <c r="AI48" s="24">
        <f t="shared" si="83"/>
        <v>0</v>
      </c>
      <c r="AJ48" s="24">
        <f t="shared" si="83"/>
        <v>0</v>
      </c>
      <c r="AK48" s="24">
        <f t="shared" si="83"/>
        <v>366</v>
      </c>
      <c r="AL48" s="24">
        <f t="shared" si="82"/>
        <v>1357</v>
      </c>
      <c r="AM48" s="24">
        <f t="shared" si="82"/>
        <v>0</v>
      </c>
      <c r="AN48" s="24">
        <f t="shared" si="82"/>
        <v>0</v>
      </c>
      <c r="AO48" s="24">
        <f t="shared" si="82"/>
        <v>0</v>
      </c>
      <c r="AP48" s="24">
        <f t="shared" si="82"/>
        <v>0</v>
      </c>
      <c r="AQ48" s="24">
        <f t="shared" si="82"/>
        <v>0</v>
      </c>
      <c r="AR48" s="307"/>
      <c r="AS48" s="24">
        <f t="shared" si="82"/>
        <v>0</v>
      </c>
      <c r="AT48" s="24">
        <f t="shared" si="82"/>
        <v>0</v>
      </c>
      <c r="AU48" s="24">
        <f t="shared" si="82"/>
        <v>0</v>
      </c>
      <c r="AV48" s="24">
        <f t="shared" si="82"/>
        <v>0</v>
      </c>
      <c r="AW48" s="24">
        <f t="shared" si="82"/>
        <v>0</v>
      </c>
      <c r="AX48" s="24">
        <f t="shared" si="82"/>
        <v>0</v>
      </c>
      <c r="AY48" s="24">
        <f t="shared" si="82"/>
        <v>0</v>
      </c>
      <c r="AZ48" s="24">
        <f t="shared" si="82"/>
        <v>0</v>
      </c>
      <c r="BA48" s="24">
        <f t="shared" si="82"/>
        <v>0</v>
      </c>
      <c r="BB48" s="24">
        <f t="shared" si="82"/>
        <v>0</v>
      </c>
      <c r="BC48" s="24">
        <f t="shared" si="82"/>
        <v>0</v>
      </c>
      <c r="BD48" s="24">
        <f t="shared" si="82"/>
        <v>0</v>
      </c>
      <c r="BE48" s="24">
        <f t="shared" si="82"/>
        <v>0</v>
      </c>
      <c r="BF48" s="24">
        <v>944</v>
      </c>
      <c r="BG48" s="24">
        <f t="shared" si="82"/>
        <v>0</v>
      </c>
      <c r="BH48" s="24">
        <f t="shared" si="81"/>
        <v>217780.7</v>
      </c>
      <c r="BI48" s="447">
        <f t="shared" ref="BI48:BI55" si="84">ROUND(BH48/E48,2)</f>
        <v>230.7</v>
      </c>
      <c r="BJ48" s="24">
        <f t="shared" ref="BJ48:BP48" si="85">BJ43+BJ44+BJ45+BJ46+BJ47</f>
        <v>165499.25</v>
      </c>
      <c r="BK48" s="24">
        <f>BK43+BK47</f>
        <v>49980.45</v>
      </c>
      <c r="BL48" s="24">
        <f t="shared" si="85"/>
        <v>0</v>
      </c>
      <c r="BM48" s="24">
        <f t="shared" si="85"/>
        <v>944</v>
      </c>
      <c r="BN48" s="24">
        <f t="shared" si="85"/>
        <v>0</v>
      </c>
      <c r="BO48" s="24">
        <f t="shared" si="85"/>
        <v>1357</v>
      </c>
      <c r="BP48" s="24">
        <f t="shared" si="85"/>
        <v>217780.7</v>
      </c>
    </row>
    <row r="49" spans="1:68" ht="21" customHeight="1">
      <c r="A49" s="857" t="s">
        <v>194</v>
      </c>
      <c r="B49" s="648" t="s">
        <v>197</v>
      </c>
      <c r="C49" s="648" t="s">
        <v>189</v>
      </c>
      <c r="D49" s="157" t="s">
        <v>190</v>
      </c>
      <c r="E49" s="313">
        <v>685</v>
      </c>
      <c r="F49" s="671" t="s">
        <v>200</v>
      </c>
      <c r="G49" s="8">
        <f>ROUND((V49+W49)/E49,3)</f>
        <v>502.358</v>
      </c>
      <c r="H49" s="8">
        <f t="shared" si="77"/>
        <v>0</v>
      </c>
      <c r="I49" s="8">
        <f t="shared" ref="I49:I60" si="86">G49+H49</f>
        <v>502.358</v>
      </c>
      <c r="J49" s="451">
        <f t="shared" si="46"/>
        <v>2.968</v>
      </c>
      <c r="K49" s="8">
        <f>ROUND((AM49+AN49+AO49+AP49+AQ49)/E49,3)</f>
        <v>0</v>
      </c>
      <c r="L49" s="8">
        <f t="shared" si="65"/>
        <v>0</v>
      </c>
      <c r="M49" s="8">
        <f t="shared" si="35"/>
        <v>0</v>
      </c>
      <c r="N49" s="11">
        <f t="shared" si="66"/>
        <v>0</v>
      </c>
      <c r="O49" s="11">
        <f>ROUND(BF49/E49,3)</f>
        <v>2</v>
      </c>
      <c r="P49" s="453">
        <f t="shared" si="50"/>
        <v>1.272</v>
      </c>
      <c r="Q49" s="8">
        <f t="shared" ref="Q49:Q60" si="87">P49+O49+N49+M49+L49+K49+J49+I49</f>
        <v>508.59800000000001</v>
      </c>
      <c r="R49" s="8">
        <f t="shared" si="70"/>
        <v>0</v>
      </c>
      <c r="S49" s="8">
        <f t="shared" si="41"/>
        <v>0</v>
      </c>
      <c r="T49" s="627">
        <f t="shared" si="51"/>
        <v>508.59800000000001</v>
      </c>
      <c r="U49" s="671" t="s">
        <v>200</v>
      </c>
      <c r="V49" s="15">
        <v>264297</v>
      </c>
      <c r="W49" s="15">
        <f>ROUND(V49*0.302,0)</f>
        <v>79818</v>
      </c>
      <c r="X49" s="15"/>
      <c r="Y49" s="15"/>
      <c r="Z49" s="15"/>
      <c r="AA49" s="15"/>
      <c r="AB49" s="15"/>
      <c r="AC49" s="15"/>
      <c r="AD49" s="15">
        <v>1452</v>
      </c>
      <c r="AE49" s="15"/>
      <c r="AF49" s="15">
        <v>145</v>
      </c>
      <c r="AG49" s="15">
        <v>436</v>
      </c>
      <c r="AH49" s="15"/>
      <c r="AI49" s="15"/>
      <c r="AJ49" s="15"/>
      <c r="AK49" s="15">
        <v>871</v>
      </c>
      <c r="AL49" s="15">
        <f>SUM(AD49:AK49)</f>
        <v>2904</v>
      </c>
      <c r="AM49" s="15"/>
      <c r="AN49" s="15"/>
      <c r="AO49" s="15"/>
      <c r="AP49" s="15"/>
      <c r="AQ49" s="15"/>
      <c r="AR49" s="705" t="s">
        <v>200</v>
      </c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>
        <f>ROUND(E49*2,0)</f>
        <v>1370</v>
      </c>
      <c r="BG49" s="15"/>
      <c r="BH49" s="15">
        <f t="shared" si="81"/>
        <v>348389</v>
      </c>
      <c r="BI49" s="447">
        <f t="shared" si="84"/>
        <v>508.6</v>
      </c>
      <c r="BJ49" s="76">
        <f t="shared" si="68"/>
        <v>264297</v>
      </c>
      <c r="BK49" s="76">
        <f t="shared" si="69"/>
        <v>79818</v>
      </c>
      <c r="BL49" s="76">
        <f>Z49+AB49+AC49+AA49</f>
        <v>0</v>
      </c>
      <c r="BM49" s="76">
        <f>BF49</f>
        <v>1370</v>
      </c>
      <c r="BN49" s="76">
        <f>BE49</f>
        <v>0</v>
      </c>
      <c r="BO49" s="76">
        <f>BG49+AL49+AM49+AN49+AO49+AP49+AQ49+AS49+AT49+AU49+AV49+AW49+AX49+AY49+AZ49+BA49+BB49+BC49+BD49</f>
        <v>2904</v>
      </c>
      <c r="BP49" s="92">
        <f>SUM(BJ49:BO49)</f>
        <v>348389</v>
      </c>
    </row>
    <row r="50" spans="1:68" ht="21" customHeight="1">
      <c r="A50" s="858"/>
      <c r="B50" s="849"/>
      <c r="C50" s="849"/>
      <c r="D50" s="157" t="s">
        <v>191</v>
      </c>
      <c r="E50" s="313">
        <v>318</v>
      </c>
      <c r="F50" s="831"/>
      <c r="G50" s="8">
        <f>ROUND((V50+W50)/E50,3)</f>
        <v>525.01599999999996</v>
      </c>
      <c r="H50" s="8">
        <f t="shared" si="77"/>
        <v>0</v>
      </c>
      <c r="I50" s="8">
        <f t="shared" si="86"/>
        <v>525.01599999999996</v>
      </c>
      <c r="J50" s="451">
        <f t="shared" si="46"/>
        <v>3.415</v>
      </c>
      <c r="K50" s="8">
        <f t="shared" ref="K50:K68" si="88">ROUND((AM50+AN50+AO50+AP50+AQ50)/E50,2)</f>
        <v>0</v>
      </c>
      <c r="L50" s="8">
        <f t="shared" si="65"/>
        <v>0</v>
      </c>
      <c r="M50" s="8">
        <f t="shared" si="35"/>
        <v>0</v>
      </c>
      <c r="N50" s="11">
        <f t="shared" si="66"/>
        <v>0</v>
      </c>
      <c r="O50" s="11">
        <f>ROUND(BF50/E50,2)</f>
        <v>9</v>
      </c>
      <c r="P50" s="453">
        <f t="shared" si="50"/>
        <v>1.4650000000000001</v>
      </c>
      <c r="Q50" s="8">
        <f t="shared" si="87"/>
        <v>538.89599999999996</v>
      </c>
      <c r="R50" s="8">
        <f t="shared" si="70"/>
        <v>0</v>
      </c>
      <c r="S50" s="8">
        <f t="shared" si="41"/>
        <v>0</v>
      </c>
      <c r="T50" s="627">
        <f t="shared" si="51"/>
        <v>538.89599999999996</v>
      </c>
      <c r="U50" s="831"/>
      <c r="V50" s="15">
        <f>ROUND(E50*403.24,0)</f>
        <v>128230</v>
      </c>
      <c r="W50" s="15">
        <f>ROUND(V50*0.302,0)</f>
        <v>38725</v>
      </c>
      <c r="X50" s="15"/>
      <c r="Y50" s="15"/>
      <c r="Z50" s="15"/>
      <c r="AA50" s="15"/>
      <c r="AB50" s="15"/>
      <c r="AC50" s="15"/>
      <c r="AD50" s="15">
        <v>775</v>
      </c>
      <c r="AE50" s="15"/>
      <c r="AF50" s="15">
        <v>78</v>
      </c>
      <c r="AG50" s="15">
        <v>233</v>
      </c>
      <c r="AH50" s="15"/>
      <c r="AI50" s="15"/>
      <c r="AJ50" s="15"/>
      <c r="AK50" s="15">
        <v>466</v>
      </c>
      <c r="AL50" s="15">
        <f t="shared" ref="AL50:AL77" si="89">SUM(AD50:AK50)</f>
        <v>1552</v>
      </c>
      <c r="AM50" s="15"/>
      <c r="AN50" s="15"/>
      <c r="AO50" s="15"/>
      <c r="AP50" s="15"/>
      <c r="AQ50" s="15"/>
      <c r="AR50" s="837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>
        <f>ROUND(E50*9,0)</f>
        <v>2862</v>
      </c>
      <c r="BG50" s="15"/>
      <c r="BH50" s="15">
        <f t="shared" si="81"/>
        <v>171369</v>
      </c>
      <c r="BI50" s="447">
        <f t="shared" si="84"/>
        <v>538.9</v>
      </c>
      <c r="BJ50" s="76">
        <f t="shared" si="68"/>
        <v>128230</v>
      </c>
      <c r="BK50" s="76">
        <f t="shared" si="69"/>
        <v>38725</v>
      </c>
      <c r="BL50" s="76">
        <f>Z50+AB50+AC50+AA50</f>
        <v>0</v>
      </c>
      <c r="BM50" s="76">
        <f>BF50</f>
        <v>2862</v>
      </c>
      <c r="BN50" s="76">
        <f>BE50</f>
        <v>0</v>
      </c>
      <c r="BO50" s="76">
        <f>BG50+AL50+AM50+AN50+AO50+AP50+AQ50+AS50+AT50+AU50+AV50+AW50+AX50+AY50+AZ50+BA50+BB50+BC50+BD50</f>
        <v>1552</v>
      </c>
      <c r="BP50" s="92">
        <f>SUM(BJ50:BO50)</f>
        <v>171369</v>
      </c>
    </row>
    <row r="51" spans="1:68" ht="21" customHeight="1">
      <c r="A51" s="858"/>
      <c r="B51" s="849"/>
      <c r="C51" s="849"/>
      <c r="D51" s="157" t="s">
        <v>192</v>
      </c>
      <c r="E51" s="313">
        <v>9</v>
      </c>
      <c r="F51" s="831"/>
      <c r="G51" s="8">
        <f>ROUND((V51+W51)/E51,3)</f>
        <v>525</v>
      </c>
      <c r="H51" s="8">
        <f t="shared" si="77"/>
        <v>0</v>
      </c>
      <c r="I51" s="8">
        <f t="shared" si="86"/>
        <v>525</v>
      </c>
      <c r="J51" s="451">
        <f t="shared" si="46"/>
        <v>44.444000000000003</v>
      </c>
      <c r="K51" s="8">
        <f t="shared" si="88"/>
        <v>0</v>
      </c>
      <c r="L51" s="8">
        <f t="shared" si="65"/>
        <v>0</v>
      </c>
      <c r="M51" s="8">
        <f t="shared" ref="M51:M68" si="90">ROUND((AZ51+BA51)/E51,2)</f>
        <v>0</v>
      </c>
      <c r="N51" s="11">
        <f t="shared" si="66"/>
        <v>0</v>
      </c>
      <c r="O51" s="11">
        <f>ROUND(BF51/E51,2)</f>
        <v>20</v>
      </c>
      <c r="P51" s="453">
        <f t="shared" si="50"/>
        <v>19.111000000000001</v>
      </c>
      <c r="Q51" s="8">
        <f t="shared" si="87"/>
        <v>608.55500000000006</v>
      </c>
      <c r="R51" s="8">
        <f t="shared" si="70"/>
        <v>0</v>
      </c>
      <c r="S51" s="8">
        <f t="shared" ref="S51:S68" si="91">ROUND(AX51/E51,2)</f>
        <v>0</v>
      </c>
      <c r="T51" s="627">
        <f t="shared" si="51"/>
        <v>608.55500000000006</v>
      </c>
      <c r="U51" s="831"/>
      <c r="V51" s="15">
        <f>ROUND(E51*403.24,0)</f>
        <v>3629</v>
      </c>
      <c r="W51" s="15">
        <f>ROUND(V51*0.302,0)</f>
        <v>1096</v>
      </c>
      <c r="X51" s="15"/>
      <c r="Y51" s="15"/>
      <c r="Z51" s="15"/>
      <c r="AA51" s="15"/>
      <c r="AB51" s="15"/>
      <c r="AC51" s="15"/>
      <c r="AD51" s="15">
        <v>285</v>
      </c>
      <c r="AE51" s="15"/>
      <c r="AF51" s="15">
        <v>29</v>
      </c>
      <c r="AG51" s="15">
        <v>86</v>
      </c>
      <c r="AH51" s="15"/>
      <c r="AI51" s="15"/>
      <c r="AJ51" s="15"/>
      <c r="AK51" s="15">
        <v>172</v>
      </c>
      <c r="AL51" s="15">
        <f t="shared" si="89"/>
        <v>572</v>
      </c>
      <c r="AM51" s="15"/>
      <c r="AN51" s="15"/>
      <c r="AO51" s="15"/>
      <c r="AP51" s="15"/>
      <c r="AQ51" s="15"/>
      <c r="AR51" s="837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>
        <f>ROUND(E51*20,0)</f>
        <v>180</v>
      </c>
      <c r="BG51" s="15"/>
      <c r="BH51" s="15">
        <f t="shared" si="81"/>
        <v>5477</v>
      </c>
      <c r="BI51" s="447">
        <f t="shared" si="84"/>
        <v>608.55999999999995</v>
      </c>
      <c r="BJ51" s="76">
        <f t="shared" si="68"/>
        <v>3629</v>
      </c>
      <c r="BK51" s="76">
        <f t="shared" si="69"/>
        <v>1096</v>
      </c>
      <c r="BL51" s="76">
        <f>Z51+AB51+AC51+AA51</f>
        <v>0</v>
      </c>
      <c r="BM51" s="76">
        <f>BF51</f>
        <v>180</v>
      </c>
      <c r="BN51" s="76">
        <f>BE51</f>
        <v>0</v>
      </c>
      <c r="BO51" s="76">
        <f>BG51+AL51+AM51+AN51+AO51+AP51+AQ51+AS51+AT51+AU51+AV51+AW51+AX51+AY51+AZ51+BA51+BB51+BC51+BD51</f>
        <v>572</v>
      </c>
      <c r="BP51" s="92">
        <f>SUM(BJ51:BO51)</f>
        <v>5477</v>
      </c>
    </row>
    <row r="52" spans="1:68" ht="21" customHeight="1">
      <c r="A52" s="858"/>
      <c r="B52" s="850"/>
      <c r="C52" s="850"/>
      <c r="D52" s="157" t="s">
        <v>193</v>
      </c>
      <c r="E52" s="313">
        <v>6</v>
      </c>
      <c r="F52" s="831"/>
      <c r="G52" s="8">
        <f>ROUND((V52+W52)/E52,3)</f>
        <v>525</v>
      </c>
      <c r="H52" s="8">
        <f t="shared" si="77"/>
        <v>0</v>
      </c>
      <c r="I52" s="8">
        <f t="shared" si="86"/>
        <v>525</v>
      </c>
      <c r="J52" s="451">
        <f t="shared" si="46"/>
        <v>138</v>
      </c>
      <c r="K52" s="8">
        <f t="shared" si="88"/>
        <v>0</v>
      </c>
      <c r="L52" s="8">
        <f t="shared" si="65"/>
        <v>0</v>
      </c>
      <c r="M52" s="8">
        <f t="shared" si="90"/>
        <v>0</v>
      </c>
      <c r="N52" s="11">
        <f t="shared" si="66"/>
        <v>0</v>
      </c>
      <c r="O52" s="11">
        <f>ROUND(BF52/E52,2)</f>
        <v>29</v>
      </c>
      <c r="P52" s="453">
        <f t="shared" si="50"/>
        <v>59.167000000000002</v>
      </c>
      <c r="Q52" s="8">
        <f t="shared" si="87"/>
        <v>751.16700000000003</v>
      </c>
      <c r="R52" s="8">
        <f t="shared" si="70"/>
        <v>0</v>
      </c>
      <c r="S52" s="8">
        <f t="shared" si="91"/>
        <v>0</v>
      </c>
      <c r="T52" s="627">
        <f t="shared" si="51"/>
        <v>751.16700000000003</v>
      </c>
      <c r="U52" s="831"/>
      <c r="V52" s="15">
        <f>ROUND(E52*403.24,0)</f>
        <v>2419</v>
      </c>
      <c r="W52" s="15">
        <f>ROUND(V52*0.302,0)</f>
        <v>731</v>
      </c>
      <c r="X52" s="15"/>
      <c r="Y52" s="15"/>
      <c r="Z52" s="15"/>
      <c r="AA52" s="15"/>
      <c r="AB52" s="15"/>
      <c r="AC52" s="15"/>
      <c r="AD52" s="15">
        <v>592</v>
      </c>
      <c r="AE52" s="15"/>
      <c r="AF52" s="15">
        <v>59</v>
      </c>
      <c r="AG52" s="15">
        <v>177</v>
      </c>
      <c r="AH52" s="15"/>
      <c r="AI52" s="15"/>
      <c r="AJ52" s="15"/>
      <c r="AK52" s="15">
        <v>355</v>
      </c>
      <c r="AL52" s="15">
        <f t="shared" si="89"/>
        <v>1183</v>
      </c>
      <c r="AM52" s="15"/>
      <c r="AN52" s="15"/>
      <c r="AO52" s="15"/>
      <c r="AP52" s="15"/>
      <c r="AQ52" s="15"/>
      <c r="AR52" s="837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>
        <f>5478-5304</f>
        <v>174</v>
      </c>
      <c r="BG52" s="15"/>
      <c r="BH52" s="15">
        <f t="shared" si="81"/>
        <v>4507</v>
      </c>
      <c r="BI52" s="447">
        <f t="shared" si="84"/>
        <v>751.17</v>
      </c>
      <c r="BJ52" s="76">
        <f t="shared" si="68"/>
        <v>2419</v>
      </c>
      <c r="BK52" s="76">
        <f t="shared" si="69"/>
        <v>731</v>
      </c>
      <c r="BL52" s="76">
        <f>Z52+AB52+AC52+AA52</f>
        <v>0</v>
      </c>
      <c r="BM52" s="76">
        <f>BF52</f>
        <v>174</v>
      </c>
      <c r="BN52" s="76">
        <f>BE52</f>
        <v>0</v>
      </c>
      <c r="BO52" s="76">
        <f>BG52+AL52+AM52+AN52+AO52+AP52+AQ52+AS52+AT52+AU52+AV52+AW52+AX52+AY52+AZ52+BA52+BB52+BC52+BD52</f>
        <v>1183</v>
      </c>
      <c r="BP52" s="92">
        <f>SUM(BJ52:BO52)</f>
        <v>4507</v>
      </c>
    </row>
    <row r="53" spans="1:68" ht="60">
      <c r="A53" s="859"/>
      <c r="B53" s="9" t="s">
        <v>198</v>
      </c>
      <c r="C53" s="9" t="s">
        <v>196</v>
      </c>
      <c r="D53" s="157"/>
      <c r="E53" s="313">
        <v>2055</v>
      </c>
      <c r="F53" s="832"/>
      <c r="G53" s="8">
        <f>ROUND((V53+W53)/E53,3)</f>
        <v>303.17399999999998</v>
      </c>
      <c r="H53" s="8">
        <f t="shared" si="77"/>
        <v>0</v>
      </c>
      <c r="I53" s="8">
        <f t="shared" si="86"/>
        <v>303.17399999999998</v>
      </c>
      <c r="J53" s="451">
        <f t="shared" si="46"/>
        <v>2.194</v>
      </c>
      <c r="K53" s="8">
        <f t="shared" si="88"/>
        <v>132.34</v>
      </c>
      <c r="L53" s="8">
        <f t="shared" si="65"/>
        <v>0</v>
      </c>
      <c r="M53" s="8">
        <f t="shared" si="90"/>
        <v>0</v>
      </c>
      <c r="N53" s="11">
        <f t="shared" si="66"/>
        <v>0</v>
      </c>
      <c r="O53" s="11">
        <f>ROUND(BF53/E53,2)</f>
        <v>4.0199999999999996</v>
      </c>
      <c r="P53" s="453">
        <f t="shared" si="50"/>
        <v>1.0840000000000001</v>
      </c>
      <c r="Q53" s="8">
        <f t="shared" si="87"/>
        <v>442.81200000000001</v>
      </c>
      <c r="R53" s="8">
        <f t="shared" si="70"/>
        <v>0</v>
      </c>
      <c r="S53" s="8">
        <f t="shared" si="91"/>
        <v>0</v>
      </c>
      <c r="T53" s="627">
        <f t="shared" si="51"/>
        <v>442.81200000000001</v>
      </c>
      <c r="U53" s="832"/>
      <c r="V53" s="15">
        <f>ROUND(E53*194.85,0)+78113</f>
        <v>478530</v>
      </c>
      <c r="W53" s="15">
        <f>ROUND(V53*0.302,0)-23</f>
        <v>144493</v>
      </c>
      <c r="X53" s="15"/>
      <c r="Y53" s="15"/>
      <c r="Z53" s="15"/>
      <c r="AA53" s="15"/>
      <c r="AB53" s="15"/>
      <c r="AC53" s="15"/>
      <c r="AD53" s="15">
        <v>3023</v>
      </c>
      <c r="AE53" s="15"/>
      <c r="AF53" s="15">
        <v>371</v>
      </c>
      <c r="AG53" s="15">
        <v>1114</v>
      </c>
      <c r="AH53" s="15"/>
      <c r="AI53" s="15"/>
      <c r="AJ53" s="15"/>
      <c r="AK53" s="15">
        <v>2228</v>
      </c>
      <c r="AL53" s="15">
        <f t="shared" si="89"/>
        <v>6736</v>
      </c>
      <c r="AM53" s="15"/>
      <c r="AN53" s="15"/>
      <c r="AO53" s="15">
        <v>271965</v>
      </c>
      <c r="AP53" s="15"/>
      <c r="AQ53" s="15"/>
      <c r="AR53" s="838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>
        <f>12842-BF49-BF50-BF51-BF52</f>
        <v>8256</v>
      </c>
      <c r="BG53" s="15">
        <v>0</v>
      </c>
      <c r="BH53" s="15">
        <f t="shared" si="81"/>
        <v>909980</v>
      </c>
      <c r="BI53" s="447">
        <f t="shared" si="84"/>
        <v>442.81</v>
      </c>
      <c r="BJ53" s="76">
        <f t="shared" si="68"/>
        <v>478530</v>
      </c>
      <c r="BK53" s="76">
        <f t="shared" si="69"/>
        <v>144493</v>
      </c>
      <c r="BL53" s="76">
        <f>Z53+AB53+AC53+AA53</f>
        <v>0</v>
      </c>
      <c r="BM53" s="76">
        <f>BF53</f>
        <v>8256</v>
      </c>
      <c r="BN53" s="76">
        <f>BE53</f>
        <v>0</v>
      </c>
      <c r="BO53" s="76">
        <f>BG53+AL53+AM53+AN53+AO53+AP53+AQ53+AS53+AT53+AU53+AV53+AW53+AX53+AY53+AZ53+BA53+BB53+BC53+BD53</f>
        <v>278701</v>
      </c>
      <c r="BP53" s="92">
        <f>SUM(BJ53:BO53)</f>
        <v>909980</v>
      </c>
    </row>
    <row r="54" spans="1:68" ht="27.75" customHeight="1">
      <c r="A54" s="109" t="s">
        <v>251</v>
      </c>
      <c r="B54" s="29"/>
      <c r="C54" s="29" t="s">
        <v>252</v>
      </c>
      <c r="D54" s="158"/>
      <c r="E54" s="32">
        <v>4091</v>
      </c>
      <c r="F54" s="159"/>
      <c r="G54" s="30">
        <f>ROUND((V54+W54)/E54,2)</f>
        <v>279.14</v>
      </c>
      <c r="H54" s="30">
        <f t="shared" si="77"/>
        <v>0</v>
      </c>
      <c r="I54" s="30">
        <f t="shared" si="86"/>
        <v>279.14</v>
      </c>
      <c r="J54" s="30">
        <f>ROUND((AL54-AK54)/E54,2)</f>
        <v>2.16</v>
      </c>
      <c r="K54" s="30">
        <f t="shared" si="88"/>
        <v>66.48</v>
      </c>
      <c r="L54" s="30">
        <f t="shared" si="65"/>
        <v>0</v>
      </c>
      <c r="M54" s="30">
        <f t="shared" si="90"/>
        <v>0</v>
      </c>
      <c r="N54" s="33">
        <f t="shared" si="66"/>
        <v>0</v>
      </c>
      <c r="O54" s="33">
        <f>ROUND(BF54/E54,2)</f>
        <v>3.14</v>
      </c>
      <c r="P54" s="33">
        <f>ROUND(AK54/E54,3)</f>
        <v>1</v>
      </c>
      <c r="Q54" s="30">
        <f t="shared" si="87"/>
        <v>351.91999999999996</v>
      </c>
      <c r="R54" s="30">
        <f t="shared" si="70"/>
        <v>0</v>
      </c>
      <c r="S54" s="30">
        <f t="shared" si="91"/>
        <v>0</v>
      </c>
      <c r="T54" s="627">
        <f t="shared" si="51"/>
        <v>351.91999999999996</v>
      </c>
      <c r="U54" s="159"/>
      <c r="V54" s="24">
        <f>SUM(V49:V53)</f>
        <v>877105</v>
      </c>
      <c r="W54" s="24">
        <f t="shared" ref="W54:AH54" si="92">SUM(W49:W53)</f>
        <v>264863</v>
      </c>
      <c r="X54" s="24">
        <f t="shared" si="92"/>
        <v>0</v>
      </c>
      <c r="Y54" s="24">
        <f t="shared" si="92"/>
        <v>0</v>
      </c>
      <c r="Z54" s="24">
        <f t="shared" si="92"/>
        <v>0</v>
      </c>
      <c r="AA54" s="24">
        <f t="shared" si="92"/>
        <v>0</v>
      </c>
      <c r="AB54" s="24">
        <f t="shared" si="92"/>
        <v>0</v>
      </c>
      <c r="AC54" s="24">
        <f t="shared" si="92"/>
        <v>0</v>
      </c>
      <c r="AD54" s="24">
        <f t="shared" si="92"/>
        <v>6127</v>
      </c>
      <c r="AE54" s="24">
        <f t="shared" si="92"/>
        <v>0</v>
      </c>
      <c r="AF54" s="24">
        <f t="shared" si="92"/>
        <v>682</v>
      </c>
      <c r="AG54" s="24">
        <f t="shared" si="92"/>
        <v>2046</v>
      </c>
      <c r="AH54" s="24">
        <f t="shared" si="92"/>
        <v>0</v>
      </c>
      <c r="AI54" s="24">
        <f>AI49+AI50+AI51+AI52+AI53</f>
        <v>0</v>
      </c>
      <c r="AJ54" s="24">
        <f>AJ49+AJ50+AJ51+AJ52+AJ53</f>
        <v>0</v>
      </c>
      <c r="AK54" s="24">
        <f>AK49+AK50+AK51+AK52+AK53</f>
        <v>4092</v>
      </c>
      <c r="AL54" s="24">
        <f t="shared" ref="AL54:BG54" si="93">AL49+AL50+AL51+AL52+AL53</f>
        <v>12947</v>
      </c>
      <c r="AM54" s="24">
        <f t="shared" si="93"/>
        <v>0</v>
      </c>
      <c r="AN54" s="24">
        <f t="shared" si="93"/>
        <v>0</v>
      </c>
      <c r="AO54" s="24">
        <f t="shared" si="93"/>
        <v>271965</v>
      </c>
      <c r="AP54" s="24">
        <f t="shared" si="93"/>
        <v>0</v>
      </c>
      <c r="AQ54" s="24">
        <f t="shared" si="93"/>
        <v>0</v>
      </c>
      <c r="AR54" s="307"/>
      <c r="AS54" s="24">
        <f t="shared" si="93"/>
        <v>0</v>
      </c>
      <c r="AT54" s="24">
        <f t="shared" si="93"/>
        <v>0</v>
      </c>
      <c r="AU54" s="24">
        <f t="shared" si="93"/>
        <v>0</v>
      </c>
      <c r="AV54" s="24">
        <f t="shared" si="93"/>
        <v>0</v>
      </c>
      <c r="AW54" s="24">
        <f t="shared" si="93"/>
        <v>0</v>
      </c>
      <c r="AX54" s="24">
        <f t="shared" si="93"/>
        <v>0</v>
      </c>
      <c r="AY54" s="24">
        <f t="shared" si="93"/>
        <v>0</v>
      </c>
      <c r="AZ54" s="24">
        <f t="shared" si="93"/>
        <v>0</v>
      </c>
      <c r="BA54" s="24">
        <f t="shared" si="93"/>
        <v>0</v>
      </c>
      <c r="BB54" s="24">
        <f t="shared" si="93"/>
        <v>0</v>
      </c>
      <c r="BC54" s="24">
        <f t="shared" si="93"/>
        <v>0</v>
      </c>
      <c r="BD54" s="24">
        <f t="shared" si="93"/>
        <v>0</v>
      </c>
      <c r="BE54" s="24">
        <f t="shared" si="93"/>
        <v>0</v>
      </c>
      <c r="BF54" s="24">
        <v>12842</v>
      </c>
      <c r="BG54" s="24">
        <f t="shared" si="93"/>
        <v>0</v>
      </c>
      <c r="BH54" s="24">
        <f t="shared" si="81"/>
        <v>1439722</v>
      </c>
      <c r="BI54" s="447">
        <f t="shared" si="84"/>
        <v>351.92</v>
      </c>
      <c r="BJ54" s="24">
        <f>SUM(BJ49:BJ53)</f>
        <v>877105</v>
      </c>
      <c r="BK54" s="24">
        <f>SUM(BK49:BK53)</f>
        <v>264863</v>
      </c>
      <c r="BL54" s="24">
        <f>BL49+BL50+BL51+BL52+BL53</f>
        <v>0</v>
      </c>
      <c r="BM54" s="24">
        <f>BM49+BM50+BM51+BM52+BM53</f>
        <v>12842</v>
      </c>
      <c r="BN54" s="24">
        <f>BN49+BN50+BN51+BN52+BN53</f>
        <v>0</v>
      </c>
      <c r="BO54" s="24">
        <f>BO49+BO50+BO51+BO52+BO53</f>
        <v>284912</v>
      </c>
      <c r="BP54" s="24">
        <f>BP49+BP50+BP51+BP52+BP53</f>
        <v>1439722</v>
      </c>
    </row>
    <row r="55" spans="1:68" s="625" customFormat="1" ht="15" customHeight="1">
      <c r="A55" s="879" t="s">
        <v>194</v>
      </c>
      <c r="B55" s="658" t="s">
        <v>197</v>
      </c>
      <c r="C55" s="658" t="s">
        <v>189</v>
      </c>
      <c r="D55" s="191" t="s">
        <v>190</v>
      </c>
      <c r="E55" s="313">
        <v>343</v>
      </c>
      <c r="F55" s="671" t="s">
        <v>80</v>
      </c>
      <c r="G55" s="8">
        <f>ROUND((V55+W55)/E55,3)</f>
        <v>345.11399999999998</v>
      </c>
      <c r="H55" s="8">
        <f>ROUND((X55+Y55)/E55,3)</f>
        <v>0</v>
      </c>
      <c r="I55" s="8">
        <f t="shared" si="86"/>
        <v>345.11399999999998</v>
      </c>
      <c r="J55" s="451">
        <f t="shared" si="46"/>
        <v>2.4140000000000001</v>
      </c>
      <c r="K55" s="8">
        <f t="shared" si="88"/>
        <v>0</v>
      </c>
      <c r="L55" s="8">
        <f t="shared" si="65"/>
        <v>0</v>
      </c>
      <c r="M55" s="8">
        <f t="shared" si="90"/>
        <v>0</v>
      </c>
      <c r="N55" s="11">
        <f t="shared" si="66"/>
        <v>0</v>
      </c>
      <c r="O55" s="11">
        <f>ROUND(BF55/E55,3)</f>
        <v>2</v>
      </c>
      <c r="P55" s="453">
        <f t="shared" si="50"/>
        <v>1.0349999999999999</v>
      </c>
      <c r="Q55" s="8">
        <f t="shared" si="87"/>
        <v>350.56299999999999</v>
      </c>
      <c r="R55" s="8">
        <f t="shared" si="70"/>
        <v>0</v>
      </c>
      <c r="S55" s="8">
        <f t="shared" si="91"/>
        <v>0</v>
      </c>
      <c r="T55" s="627">
        <f t="shared" ref="T55:T65" si="94">Q55+R55+S55</f>
        <v>350.56299999999999</v>
      </c>
      <c r="U55" s="671" t="s">
        <v>80</v>
      </c>
      <c r="V55" s="15">
        <v>90917</v>
      </c>
      <c r="W55" s="15">
        <f>ROUND(V55*0.302,0)</f>
        <v>27457</v>
      </c>
      <c r="X55" s="15"/>
      <c r="Y55" s="15"/>
      <c r="Z55" s="15"/>
      <c r="AA55" s="15"/>
      <c r="AB55" s="15"/>
      <c r="AC55" s="15"/>
      <c r="AD55" s="15">
        <v>592</v>
      </c>
      <c r="AE55" s="15"/>
      <c r="AF55" s="15">
        <v>59</v>
      </c>
      <c r="AG55" s="15">
        <v>177</v>
      </c>
      <c r="AH55" s="15"/>
      <c r="AI55" s="15"/>
      <c r="AJ55" s="15"/>
      <c r="AK55" s="15">
        <v>355</v>
      </c>
      <c r="AL55" s="15">
        <f t="shared" si="89"/>
        <v>1183</v>
      </c>
      <c r="AM55" s="15"/>
      <c r="AN55" s="15"/>
      <c r="AO55" s="15"/>
      <c r="AP55" s="15"/>
      <c r="AQ55" s="15"/>
      <c r="AR55" s="705" t="s">
        <v>201</v>
      </c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>
        <f>ROUND(E55*2,0)</f>
        <v>686</v>
      </c>
      <c r="BG55" s="15"/>
      <c r="BH55" s="15">
        <f t="shared" si="81"/>
        <v>120243</v>
      </c>
      <c r="BI55" s="447">
        <f t="shared" si="84"/>
        <v>350.56</v>
      </c>
      <c r="BJ55" s="92">
        <f t="shared" ref="BJ55:BK59" si="95">V55+X55</f>
        <v>90917</v>
      </c>
      <c r="BK55" s="92">
        <f t="shared" si="95"/>
        <v>27457</v>
      </c>
      <c r="BL55" s="76">
        <f>Z55+AB55+AC55+AA55</f>
        <v>0</v>
      </c>
      <c r="BM55" s="92">
        <f>BF55</f>
        <v>686</v>
      </c>
      <c r="BN55" s="76">
        <f>BE55</f>
        <v>0</v>
      </c>
      <c r="BO55" s="92">
        <f>BG55+AL55+AM55+AN55+AO55+AP55+AQ55+AS55+AT55+AU55+AV55+AW55+AX55+AY55+AZ55+BA55+BB55+BC55+BD55</f>
        <v>1183</v>
      </c>
      <c r="BP55" s="92">
        <f>SUM(BJ55:BO55)</f>
        <v>120243</v>
      </c>
    </row>
    <row r="56" spans="1:68" s="625" customFormat="1" ht="15" customHeight="1">
      <c r="A56" s="880"/>
      <c r="B56" s="861"/>
      <c r="C56" s="861"/>
      <c r="D56" s="191" t="s">
        <v>191</v>
      </c>
      <c r="E56" s="313">
        <v>183</v>
      </c>
      <c r="F56" s="833"/>
      <c r="G56" s="8">
        <f>ROUND((V56+W56)/E56,3)</f>
        <v>345.10899999999998</v>
      </c>
      <c r="H56" s="8">
        <f>ROUND((X56+Y56)/E56,3)</f>
        <v>0</v>
      </c>
      <c r="I56" s="8">
        <f t="shared" si="86"/>
        <v>345.10899999999998</v>
      </c>
      <c r="J56" s="451">
        <f t="shared" si="46"/>
        <v>2.415</v>
      </c>
      <c r="K56" s="8">
        <f t="shared" si="88"/>
        <v>0</v>
      </c>
      <c r="L56" s="8">
        <f t="shared" si="65"/>
        <v>0</v>
      </c>
      <c r="M56" s="8">
        <f t="shared" si="90"/>
        <v>0</v>
      </c>
      <c r="N56" s="11">
        <f t="shared" si="66"/>
        <v>0</v>
      </c>
      <c r="O56" s="11">
        <f>ROUND(BF56/E56,3)</f>
        <v>9</v>
      </c>
      <c r="P56" s="453">
        <f t="shared" si="50"/>
        <v>1.0329999999999999</v>
      </c>
      <c r="Q56" s="8">
        <f t="shared" si="87"/>
        <v>357.55699999999996</v>
      </c>
      <c r="R56" s="8">
        <f t="shared" si="70"/>
        <v>0</v>
      </c>
      <c r="S56" s="8">
        <f t="shared" si="91"/>
        <v>0</v>
      </c>
      <c r="T56" s="627">
        <f t="shared" si="94"/>
        <v>357.55699999999996</v>
      </c>
      <c r="U56" s="833"/>
      <c r="V56" s="15">
        <v>48506</v>
      </c>
      <c r="W56" s="15">
        <f>ROUND(V56*0.302,0)</f>
        <v>14649</v>
      </c>
      <c r="X56" s="15"/>
      <c r="Y56" s="15"/>
      <c r="Z56" s="15"/>
      <c r="AA56" s="15"/>
      <c r="AB56" s="15"/>
      <c r="AC56" s="15"/>
      <c r="AD56" s="15">
        <v>315</v>
      </c>
      <c r="AE56" s="15"/>
      <c r="AF56" s="15">
        <v>32</v>
      </c>
      <c r="AG56" s="15">
        <v>95</v>
      </c>
      <c r="AH56" s="15"/>
      <c r="AI56" s="15"/>
      <c r="AJ56" s="15"/>
      <c r="AK56" s="15">
        <v>189</v>
      </c>
      <c r="AL56" s="15">
        <f t="shared" si="89"/>
        <v>631</v>
      </c>
      <c r="AM56" s="15"/>
      <c r="AN56" s="15"/>
      <c r="AO56" s="15"/>
      <c r="AP56" s="15"/>
      <c r="AQ56" s="15"/>
      <c r="AR56" s="83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>
        <f>ROUND(E56*9,0)</f>
        <v>1647</v>
      </c>
      <c r="BG56" s="15"/>
      <c r="BH56" s="15">
        <f t="shared" si="81"/>
        <v>65433</v>
      </c>
      <c r="BI56" s="447">
        <f>ROUND(BH56/E56,3)</f>
        <v>357.55700000000002</v>
      </c>
      <c r="BJ56" s="92">
        <f t="shared" si="95"/>
        <v>48506</v>
      </c>
      <c r="BK56" s="92">
        <f t="shared" si="95"/>
        <v>14649</v>
      </c>
      <c r="BL56" s="76">
        <f>Z56+AB56+AC56+AA56</f>
        <v>0</v>
      </c>
      <c r="BM56" s="92">
        <f>BF56</f>
        <v>1647</v>
      </c>
      <c r="BN56" s="76">
        <f>BE56</f>
        <v>0</v>
      </c>
      <c r="BO56" s="92">
        <f>BG56+AL56+AM56+AN56+AO56+AP56+AQ56+AS56+AT56+AU56+AV56+AW56+AX56+AY56+AZ56+BA56+BB56+BC56+BD56</f>
        <v>631</v>
      </c>
      <c r="BP56" s="92">
        <f>SUM(BJ56:BO56)</f>
        <v>65433</v>
      </c>
    </row>
    <row r="57" spans="1:68" s="625" customFormat="1" ht="15" hidden="1" customHeight="1" outlineLevel="1">
      <c r="A57" s="880"/>
      <c r="B57" s="861"/>
      <c r="C57" s="861"/>
      <c r="D57" s="191" t="s">
        <v>192</v>
      </c>
      <c r="E57" s="313">
        <v>0</v>
      </c>
      <c r="F57" s="833"/>
      <c r="G57" s="8" t="e">
        <f>ROUND((V57+W57)/E57,3)</f>
        <v>#DIV/0!</v>
      </c>
      <c r="H57" s="8" t="e">
        <f>ROUND((X57+Y57)/E57,2)</f>
        <v>#DIV/0!</v>
      </c>
      <c r="I57" s="8" t="e">
        <f t="shared" si="86"/>
        <v>#DIV/0!</v>
      </c>
      <c r="J57" s="451" t="e">
        <f t="shared" si="46"/>
        <v>#DIV/0!</v>
      </c>
      <c r="K57" s="8" t="e">
        <f t="shared" si="88"/>
        <v>#DIV/0!</v>
      </c>
      <c r="L57" s="8" t="e">
        <f t="shared" si="65"/>
        <v>#DIV/0!</v>
      </c>
      <c r="M57" s="8" t="e">
        <f t="shared" si="90"/>
        <v>#DIV/0!</v>
      </c>
      <c r="N57" s="11" t="e">
        <f t="shared" si="66"/>
        <v>#DIV/0!</v>
      </c>
      <c r="O57" s="11" t="e">
        <f>ROUND(BF57/E57,2)</f>
        <v>#DIV/0!</v>
      </c>
      <c r="P57" s="453" t="e">
        <f t="shared" si="50"/>
        <v>#DIV/0!</v>
      </c>
      <c r="Q57" s="8" t="e">
        <f t="shared" si="87"/>
        <v>#DIV/0!</v>
      </c>
      <c r="R57" s="8" t="e">
        <f t="shared" si="70"/>
        <v>#DIV/0!</v>
      </c>
      <c r="S57" s="8" t="e">
        <f t="shared" si="91"/>
        <v>#DIV/0!</v>
      </c>
      <c r="T57" s="627" t="e">
        <f t="shared" si="94"/>
        <v>#DIV/0!</v>
      </c>
      <c r="U57" s="833"/>
      <c r="V57" s="15">
        <v>0</v>
      </c>
      <c r="W57" s="15">
        <f>ROUND(V57*0.302,0)</f>
        <v>0</v>
      </c>
      <c r="X57" s="15"/>
      <c r="Y57" s="15"/>
      <c r="Z57" s="15"/>
      <c r="AA57" s="15"/>
      <c r="AB57" s="15"/>
      <c r="AC57" s="15"/>
      <c r="AD57" s="15">
        <v>0</v>
      </c>
      <c r="AE57" s="15"/>
      <c r="AF57" s="15">
        <v>0</v>
      </c>
      <c r="AG57" s="15">
        <v>0</v>
      </c>
      <c r="AH57" s="15"/>
      <c r="AI57" s="15"/>
      <c r="AJ57" s="15"/>
      <c r="AK57" s="15">
        <v>0</v>
      </c>
      <c r="AL57" s="15">
        <f t="shared" si="89"/>
        <v>0</v>
      </c>
      <c r="AM57" s="15"/>
      <c r="AN57" s="15"/>
      <c r="AO57" s="15"/>
      <c r="AP57" s="15"/>
      <c r="AQ57" s="15"/>
      <c r="AR57" s="83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>
        <f>ROUND(E57*20,0)</f>
        <v>0</v>
      </c>
      <c r="BG57" s="15"/>
      <c r="BH57" s="15">
        <f t="shared" si="81"/>
        <v>0</v>
      </c>
      <c r="BI57" s="447" t="e">
        <f>ROUND(BH57/E57,2)</f>
        <v>#DIV/0!</v>
      </c>
      <c r="BJ57" s="92">
        <f t="shared" si="95"/>
        <v>0</v>
      </c>
      <c r="BK57" s="92">
        <f t="shared" si="95"/>
        <v>0</v>
      </c>
      <c r="BL57" s="76">
        <f>Z57+AB57+AC57+AA57</f>
        <v>0</v>
      </c>
      <c r="BM57" s="92">
        <f>BF57</f>
        <v>0</v>
      </c>
      <c r="BN57" s="76">
        <f>BE57</f>
        <v>0</v>
      </c>
      <c r="BO57" s="92">
        <f>BG57+AL57+AM57+AN57+AO57+AP57+AQ57+AS57+AT57+AU57+AV57+AW57+AX57+AY57+AZ57+BA57+BB57+BC57+BD57</f>
        <v>0</v>
      </c>
      <c r="BP57" s="92">
        <f>SUM(BJ57:BO57)</f>
        <v>0</v>
      </c>
    </row>
    <row r="58" spans="1:68" s="625" customFormat="1" ht="29.25" customHeight="1" collapsed="1">
      <c r="A58" s="880"/>
      <c r="B58" s="862"/>
      <c r="C58" s="862"/>
      <c r="D58" s="191" t="s">
        <v>193</v>
      </c>
      <c r="E58" s="313">
        <v>87</v>
      </c>
      <c r="F58" s="833"/>
      <c r="G58" s="8">
        <f>ROUND((V58+W58)/E58,3)</f>
        <v>345.10300000000001</v>
      </c>
      <c r="H58" s="8">
        <f>ROUND((X58+Y58)/E58,3)</f>
        <v>0</v>
      </c>
      <c r="I58" s="8">
        <f t="shared" si="86"/>
        <v>345.10300000000001</v>
      </c>
      <c r="J58" s="451">
        <f t="shared" si="46"/>
        <v>6.5979999999999999</v>
      </c>
      <c r="K58" s="8">
        <f t="shared" si="88"/>
        <v>0</v>
      </c>
      <c r="L58" s="8">
        <f t="shared" si="65"/>
        <v>0</v>
      </c>
      <c r="M58" s="8">
        <f t="shared" si="90"/>
        <v>0</v>
      </c>
      <c r="N58" s="11">
        <f t="shared" si="66"/>
        <v>0</v>
      </c>
      <c r="O58" s="11">
        <f>ROUND(BF58/E58,3)</f>
        <v>29</v>
      </c>
      <c r="P58" s="453">
        <f t="shared" si="50"/>
        <v>3.3220000000000001</v>
      </c>
      <c r="Q58" s="8">
        <f t="shared" si="87"/>
        <v>384.02300000000002</v>
      </c>
      <c r="R58" s="8">
        <f t="shared" si="70"/>
        <v>0</v>
      </c>
      <c r="S58" s="8">
        <f t="shared" si="91"/>
        <v>0</v>
      </c>
      <c r="T58" s="627">
        <f t="shared" si="94"/>
        <v>384.02300000000002</v>
      </c>
      <c r="U58" s="833"/>
      <c r="V58" s="15">
        <v>23060</v>
      </c>
      <c r="W58" s="15">
        <f>ROUND(V58*0.302,0)</f>
        <v>6964</v>
      </c>
      <c r="X58" s="15"/>
      <c r="Y58" s="15"/>
      <c r="Z58" s="15"/>
      <c r="AA58" s="15"/>
      <c r="AB58" s="15"/>
      <c r="AC58" s="15"/>
      <c r="AD58" s="15">
        <v>382</v>
      </c>
      <c r="AE58" s="15"/>
      <c r="AF58" s="15">
        <v>48</v>
      </c>
      <c r="AG58" s="15">
        <v>144</v>
      </c>
      <c r="AH58" s="15"/>
      <c r="AI58" s="15"/>
      <c r="AJ58" s="15"/>
      <c r="AK58" s="15">
        <v>289</v>
      </c>
      <c r="AL58" s="15">
        <f t="shared" si="89"/>
        <v>863</v>
      </c>
      <c r="AM58" s="15"/>
      <c r="AN58" s="15"/>
      <c r="AO58" s="15"/>
      <c r="AP58" s="15"/>
      <c r="AQ58" s="15"/>
      <c r="AR58" s="83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>
        <v>2523</v>
      </c>
      <c r="BG58" s="15"/>
      <c r="BH58" s="15">
        <f t="shared" si="81"/>
        <v>33410</v>
      </c>
      <c r="BI58" s="447">
        <f>ROUND(BH58/E58,2)</f>
        <v>384.02</v>
      </c>
      <c r="BJ58" s="92">
        <f t="shared" si="95"/>
        <v>23060</v>
      </c>
      <c r="BK58" s="92">
        <f t="shared" si="95"/>
        <v>6964</v>
      </c>
      <c r="BL58" s="76">
        <f>Z58+AB58+AC58+AA58</f>
        <v>0</v>
      </c>
      <c r="BM58" s="92">
        <f>BF58</f>
        <v>2523</v>
      </c>
      <c r="BN58" s="76">
        <f>BE58</f>
        <v>0</v>
      </c>
      <c r="BO58" s="92">
        <f>BG58+AL58+AM58+AN58+AO58+AP58+AQ58+AS58+AT58+AU58+AV58+AW58+AX58+AY58+AZ58+BA58+BB58+BC58+BD58</f>
        <v>863</v>
      </c>
      <c r="BP58" s="92">
        <f>SUM(BJ58:BO58)</f>
        <v>33410</v>
      </c>
    </row>
    <row r="59" spans="1:68" s="625" customFormat="1" ht="60">
      <c r="A59" s="881"/>
      <c r="B59" s="192" t="s">
        <v>198</v>
      </c>
      <c r="C59" s="192" t="s">
        <v>196</v>
      </c>
      <c r="D59" s="191"/>
      <c r="E59" s="313">
        <v>2823</v>
      </c>
      <c r="F59" s="834"/>
      <c r="G59" s="8">
        <f>ROUND((V59+W59)/E59,2)</f>
        <v>180.44</v>
      </c>
      <c r="H59" s="8">
        <f>ROUND((X59+Y59)/E59,2)</f>
        <v>0</v>
      </c>
      <c r="I59" s="8">
        <f t="shared" si="86"/>
        <v>180.44</v>
      </c>
      <c r="J59" s="451">
        <f t="shared" si="46"/>
        <v>0.92</v>
      </c>
      <c r="K59" s="8">
        <f t="shared" si="88"/>
        <v>0</v>
      </c>
      <c r="L59" s="8">
        <f t="shared" si="65"/>
        <v>0</v>
      </c>
      <c r="M59" s="8">
        <f t="shared" si="90"/>
        <v>0</v>
      </c>
      <c r="N59" s="11">
        <f t="shared" si="66"/>
        <v>0</v>
      </c>
      <c r="O59" s="11">
        <f>ROUND(BF59/E59,3)</f>
        <v>0.55400000000000005</v>
      </c>
      <c r="P59" s="453">
        <f t="shared" si="50"/>
        <v>0.38800000000000001</v>
      </c>
      <c r="Q59" s="8">
        <f t="shared" si="87"/>
        <v>182.30199999999999</v>
      </c>
      <c r="R59" s="8">
        <f t="shared" si="70"/>
        <v>0</v>
      </c>
      <c r="S59" s="8">
        <f t="shared" si="91"/>
        <v>0</v>
      </c>
      <c r="T59" s="627">
        <f t="shared" si="94"/>
        <v>182.30199999999999</v>
      </c>
      <c r="U59" s="834"/>
      <c r="V59" s="15">
        <f>553732-V55-V56-V58</f>
        <v>391249</v>
      </c>
      <c r="W59" s="15">
        <f>167204-W55-W56-W58</f>
        <v>118134</v>
      </c>
      <c r="X59" s="15"/>
      <c r="Y59" s="15"/>
      <c r="Z59" s="15"/>
      <c r="AA59" s="15"/>
      <c r="AB59" s="15"/>
      <c r="AC59" s="15"/>
      <c r="AD59" s="15">
        <v>1867</v>
      </c>
      <c r="AE59" s="15"/>
      <c r="AF59" s="15">
        <v>183</v>
      </c>
      <c r="AG59" s="15">
        <v>548</v>
      </c>
      <c r="AH59" s="15"/>
      <c r="AI59" s="15"/>
      <c r="AJ59" s="15"/>
      <c r="AK59" s="15">
        <v>1096</v>
      </c>
      <c r="AL59" s="15">
        <f t="shared" si="89"/>
        <v>3694</v>
      </c>
      <c r="AM59" s="15"/>
      <c r="AN59" s="15"/>
      <c r="AO59" s="15"/>
      <c r="AP59" s="15"/>
      <c r="AQ59" s="15"/>
      <c r="AR59" s="836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>
        <f>4086-2523</f>
        <v>1563</v>
      </c>
      <c r="BG59" s="15"/>
      <c r="BH59" s="15">
        <f t="shared" si="81"/>
        <v>514640</v>
      </c>
      <c r="BI59" s="447">
        <f>ROUND(BH59/E59,3)</f>
        <v>182.303</v>
      </c>
      <c r="BJ59" s="92">
        <f t="shared" si="95"/>
        <v>391249</v>
      </c>
      <c r="BK59" s="92">
        <f t="shared" si="95"/>
        <v>118134</v>
      </c>
      <c r="BL59" s="76">
        <f>Z59+AB59+AC59+AA59</f>
        <v>0</v>
      </c>
      <c r="BM59" s="92">
        <f>BF59</f>
        <v>1563</v>
      </c>
      <c r="BN59" s="76">
        <f>BE59</f>
        <v>0</v>
      </c>
      <c r="BO59" s="92">
        <f>BG59+AL59+AM59+AN59+AO59+AP59+AQ59+AS59+AT59+AU59+AV59+AW59+AX59+AY59+AZ59+BA59+BB59+BC59+BD59</f>
        <v>3694</v>
      </c>
      <c r="BP59" s="92">
        <f>SUM(BJ59:BO59)</f>
        <v>514640</v>
      </c>
    </row>
    <row r="60" spans="1:68" ht="27.75" customHeight="1">
      <c r="A60" s="109" t="s">
        <v>251</v>
      </c>
      <c r="B60" s="29"/>
      <c r="C60" s="29" t="s">
        <v>252</v>
      </c>
      <c r="D60" s="158"/>
      <c r="E60" s="32">
        <v>4049</v>
      </c>
      <c r="F60" s="159"/>
      <c r="G60" s="30">
        <f t="shared" ref="G60:G65" si="96">ROUND((V60+W60)/E60,3)</f>
        <v>178.053</v>
      </c>
      <c r="H60" s="30">
        <f>ROUND((X60+Y60)/E60,3)</f>
        <v>0</v>
      </c>
      <c r="I60" s="30">
        <f t="shared" si="86"/>
        <v>178.053</v>
      </c>
      <c r="J60" s="30">
        <f>ROUND((AL60-AK60)/E60,2)</f>
        <v>1.1000000000000001</v>
      </c>
      <c r="K60" s="30">
        <f t="shared" si="88"/>
        <v>0</v>
      </c>
      <c r="L60" s="30">
        <f t="shared" si="65"/>
        <v>0</v>
      </c>
      <c r="M60" s="30">
        <f t="shared" si="90"/>
        <v>0</v>
      </c>
      <c r="N60" s="33">
        <f t="shared" si="66"/>
        <v>0</v>
      </c>
      <c r="O60" s="33">
        <f>ROUND(BF60/E60,3)</f>
        <v>1.585</v>
      </c>
      <c r="P60" s="33">
        <f>ROUND(AK60/E60,3)</f>
        <v>0.47599999999999998</v>
      </c>
      <c r="Q60" s="30">
        <f t="shared" si="87"/>
        <v>181.214</v>
      </c>
      <c r="R60" s="30">
        <f t="shared" si="70"/>
        <v>0</v>
      </c>
      <c r="S60" s="30">
        <f t="shared" si="91"/>
        <v>0</v>
      </c>
      <c r="T60" s="627">
        <f t="shared" si="94"/>
        <v>181.214</v>
      </c>
      <c r="U60" s="159"/>
      <c r="V60" s="24">
        <f>SUM(V55:V59)</f>
        <v>553732</v>
      </c>
      <c r="W60" s="24">
        <f>SUM(W55:W59)</f>
        <v>167204</v>
      </c>
      <c r="X60" s="24">
        <f t="shared" ref="X60:BG60" si="97">X55+X56+X57+X58+X59</f>
        <v>0</v>
      </c>
      <c r="Y60" s="24">
        <f t="shared" si="97"/>
        <v>0</v>
      </c>
      <c r="Z60" s="24">
        <f t="shared" si="97"/>
        <v>0</v>
      </c>
      <c r="AA60" s="24">
        <f t="shared" si="97"/>
        <v>0</v>
      </c>
      <c r="AB60" s="24">
        <f t="shared" si="97"/>
        <v>0</v>
      </c>
      <c r="AC60" s="24">
        <f t="shared" si="97"/>
        <v>0</v>
      </c>
      <c r="AD60" s="24">
        <f t="shared" si="97"/>
        <v>3156</v>
      </c>
      <c r="AE60" s="24">
        <f t="shared" si="97"/>
        <v>0</v>
      </c>
      <c r="AF60" s="24">
        <f t="shared" si="97"/>
        <v>322</v>
      </c>
      <c r="AG60" s="24">
        <f t="shared" si="97"/>
        <v>964</v>
      </c>
      <c r="AH60" s="24">
        <f t="shared" si="97"/>
        <v>0</v>
      </c>
      <c r="AI60" s="24">
        <f t="shared" si="97"/>
        <v>0</v>
      </c>
      <c r="AJ60" s="24">
        <f t="shared" si="97"/>
        <v>0</v>
      </c>
      <c r="AK60" s="24">
        <f t="shared" si="97"/>
        <v>1929</v>
      </c>
      <c r="AL60" s="24">
        <f t="shared" si="97"/>
        <v>6371</v>
      </c>
      <c r="AM60" s="24">
        <f t="shared" si="97"/>
        <v>0</v>
      </c>
      <c r="AN60" s="24">
        <f t="shared" si="97"/>
        <v>0</v>
      </c>
      <c r="AO60" s="24">
        <f t="shared" si="97"/>
        <v>0</v>
      </c>
      <c r="AP60" s="24">
        <f t="shared" si="97"/>
        <v>0</v>
      </c>
      <c r="AQ60" s="24">
        <f t="shared" si="97"/>
        <v>0</v>
      </c>
      <c r="AR60" s="307"/>
      <c r="AS60" s="24">
        <f t="shared" si="97"/>
        <v>0</v>
      </c>
      <c r="AT60" s="24">
        <f t="shared" si="97"/>
        <v>0</v>
      </c>
      <c r="AU60" s="24">
        <f t="shared" si="97"/>
        <v>0</v>
      </c>
      <c r="AV60" s="24">
        <f t="shared" si="97"/>
        <v>0</v>
      </c>
      <c r="AW60" s="24">
        <f t="shared" si="97"/>
        <v>0</v>
      </c>
      <c r="AX60" s="24">
        <f t="shared" si="97"/>
        <v>0</v>
      </c>
      <c r="AY60" s="24">
        <f t="shared" si="97"/>
        <v>0</v>
      </c>
      <c r="AZ60" s="24">
        <f t="shared" si="97"/>
        <v>0</v>
      </c>
      <c r="BA60" s="24">
        <f t="shared" si="97"/>
        <v>0</v>
      </c>
      <c r="BB60" s="24">
        <f t="shared" si="97"/>
        <v>0</v>
      </c>
      <c r="BC60" s="24">
        <f t="shared" si="97"/>
        <v>0</v>
      </c>
      <c r="BD60" s="24">
        <f t="shared" si="97"/>
        <v>0</v>
      </c>
      <c r="BE60" s="24">
        <f t="shared" si="97"/>
        <v>0</v>
      </c>
      <c r="BF60" s="24">
        <v>6419</v>
      </c>
      <c r="BG60" s="24">
        <f t="shared" si="97"/>
        <v>0</v>
      </c>
      <c r="BH60" s="24">
        <f t="shared" si="81"/>
        <v>733726</v>
      </c>
      <c r="BI60" s="447">
        <f>ROUND(BH60/E60,2)</f>
        <v>181.21</v>
      </c>
      <c r="BJ60" s="24">
        <f t="shared" ref="BJ60:BP60" si="98">BJ55+BJ56+BJ57+BJ58+BJ59</f>
        <v>553732</v>
      </c>
      <c r="BK60" s="24">
        <f t="shared" si="98"/>
        <v>167204</v>
      </c>
      <c r="BL60" s="24">
        <f t="shared" si="98"/>
        <v>0</v>
      </c>
      <c r="BM60" s="24">
        <f t="shared" si="98"/>
        <v>6419</v>
      </c>
      <c r="BN60" s="24">
        <f t="shared" si="98"/>
        <v>0</v>
      </c>
      <c r="BO60" s="24">
        <f t="shared" si="98"/>
        <v>6371</v>
      </c>
      <c r="BP60" s="24">
        <f t="shared" si="98"/>
        <v>733726</v>
      </c>
    </row>
    <row r="61" spans="1:68" ht="15" customHeight="1">
      <c r="A61" s="857" t="s">
        <v>194</v>
      </c>
      <c r="B61" s="648" t="s">
        <v>197</v>
      </c>
      <c r="C61" s="648" t="s">
        <v>189</v>
      </c>
      <c r="D61" s="157" t="s">
        <v>190</v>
      </c>
      <c r="E61" s="313">
        <v>685</v>
      </c>
      <c r="F61" s="671" t="s">
        <v>83</v>
      </c>
      <c r="G61" s="8">
        <f t="shared" si="96"/>
        <v>401.96600000000001</v>
      </c>
      <c r="H61" s="8">
        <f t="shared" ref="H61:H68" si="99">ROUND((X61+Y61)/E61,2)</f>
        <v>0</v>
      </c>
      <c r="I61" s="8">
        <f>G61+H61</f>
        <v>401.96600000000001</v>
      </c>
      <c r="J61" s="451">
        <f t="shared" si="46"/>
        <v>2.415</v>
      </c>
      <c r="K61" s="8">
        <f t="shared" si="88"/>
        <v>0</v>
      </c>
      <c r="L61" s="8">
        <f t="shared" si="65"/>
        <v>0</v>
      </c>
      <c r="M61" s="8">
        <f t="shared" si="90"/>
        <v>0</v>
      </c>
      <c r="N61" s="11">
        <f t="shared" si="66"/>
        <v>0</v>
      </c>
      <c r="O61" s="11">
        <f t="shared" ref="O61:O90" si="100">ROUND(BF61/E61,2)</f>
        <v>2</v>
      </c>
      <c r="P61" s="453">
        <f t="shared" si="50"/>
        <v>1.0349999999999999</v>
      </c>
      <c r="Q61" s="8">
        <f>P61+O61+N61+M61+L61+K61+J61+I61</f>
        <v>407.416</v>
      </c>
      <c r="R61" s="8">
        <f t="shared" si="70"/>
        <v>0</v>
      </c>
      <c r="S61" s="8">
        <f t="shared" si="91"/>
        <v>0</v>
      </c>
      <c r="T61" s="627">
        <f t="shared" si="94"/>
        <v>407.416</v>
      </c>
      <c r="U61" s="671" t="s">
        <v>83</v>
      </c>
      <c r="V61" s="15">
        <v>211480</v>
      </c>
      <c r="W61" s="15">
        <f>ROUND(V61*0.302,0)</f>
        <v>63867</v>
      </c>
      <c r="X61" s="15"/>
      <c r="Y61" s="15"/>
      <c r="Z61" s="15"/>
      <c r="AA61" s="15"/>
      <c r="AB61" s="15"/>
      <c r="AC61" s="15"/>
      <c r="AD61" s="15">
        <v>1182</v>
      </c>
      <c r="AE61" s="15"/>
      <c r="AF61" s="15">
        <v>118</v>
      </c>
      <c r="AG61" s="15">
        <v>354</v>
      </c>
      <c r="AH61" s="15"/>
      <c r="AI61" s="15"/>
      <c r="AJ61" s="15"/>
      <c r="AK61" s="15">
        <v>709</v>
      </c>
      <c r="AL61" s="15">
        <f t="shared" si="89"/>
        <v>2363</v>
      </c>
      <c r="AM61" s="15"/>
      <c r="AN61" s="15"/>
      <c r="AO61" s="15"/>
      <c r="AP61" s="15"/>
      <c r="AQ61" s="15"/>
      <c r="AR61" s="705" t="s">
        <v>83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>
        <f>ROUND(E61*2,0)</f>
        <v>1370</v>
      </c>
      <c r="BG61" s="15"/>
      <c r="BH61" s="15">
        <f t="shared" si="81"/>
        <v>279080</v>
      </c>
      <c r="BI61" s="447">
        <f t="shared" ref="BI61:BI66" si="101">ROUND(BH61/E61,2)</f>
        <v>407.42</v>
      </c>
      <c r="BJ61" s="76">
        <f t="shared" ref="BJ61:BK65" si="102">V61+X61</f>
        <v>211480</v>
      </c>
      <c r="BK61" s="76">
        <f t="shared" si="102"/>
        <v>63867</v>
      </c>
      <c r="BL61" s="76">
        <f>Z61+AB61+AC61+AA61</f>
        <v>0</v>
      </c>
      <c r="BM61" s="76">
        <f>BF61</f>
        <v>1370</v>
      </c>
      <c r="BN61" s="76">
        <f>BE61</f>
        <v>0</v>
      </c>
      <c r="BO61" s="76">
        <f>BG61+AL61+AM61+AN61+AO61+AP61+AQ61+AS61+AT61+AU61+AV61+AW61+AX61+AY61+AZ61+BA61+BB61+BC61+BD61</f>
        <v>2363</v>
      </c>
      <c r="BP61" s="92">
        <f>SUM(BJ61:BO61)</f>
        <v>279080</v>
      </c>
    </row>
    <row r="62" spans="1:68" ht="15" customHeight="1">
      <c r="A62" s="858"/>
      <c r="B62" s="849"/>
      <c r="C62" s="849"/>
      <c r="D62" s="157" t="s">
        <v>191</v>
      </c>
      <c r="E62" s="313">
        <v>46</v>
      </c>
      <c r="F62" s="829"/>
      <c r="G62" s="8">
        <f t="shared" si="96"/>
        <v>401.95699999999999</v>
      </c>
      <c r="H62" s="8">
        <f>ROUND((X62+Y62)/E62,3)</f>
        <v>0</v>
      </c>
      <c r="I62" s="8">
        <f>G62+H62</f>
        <v>401.95699999999999</v>
      </c>
      <c r="J62" s="451">
        <f t="shared" si="46"/>
        <v>3.9129999999999998</v>
      </c>
      <c r="K62" s="8">
        <f t="shared" si="88"/>
        <v>0</v>
      </c>
      <c r="L62" s="8">
        <f t="shared" si="65"/>
        <v>0</v>
      </c>
      <c r="M62" s="8">
        <f t="shared" si="90"/>
        <v>0</v>
      </c>
      <c r="N62" s="11">
        <f t="shared" si="66"/>
        <v>0</v>
      </c>
      <c r="O62" s="11">
        <f>ROUND(BF62/E62,3)</f>
        <v>6.8259999999999996</v>
      </c>
      <c r="P62" s="453">
        <f t="shared" si="50"/>
        <v>1.7170000000000001</v>
      </c>
      <c r="Q62" s="8">
        <f>P62+O62+N62+M62+L62+K62+J62+I62</f>
        <v>414.41300000000001</v>
      </c>
      <c r="R62" s="8">
        <f t="shared" si="70"/>
        <v>0</v>
      </c>
      <c r="S62" s="8">
        <f t="shared" si="91"/>
        <v>0</v>
      </c>
      <c r="T62" s="627">
        <f t="shared" si="94"/>
        <v>414.41300000000001</v>
      </c>
      <c r="U62" s="829"/>
      <c r="V62" s="15">
        <v>14201</v>
      </c>
      <c r="W62" s="15">
        <f>ROUND(V62*0.302,0)</f>
        <v>4289</v>
      </c>
      <c r="X62" s="15"/>
      <c r="Y62" s="15"/>
      <c r="Z62" s="15"/>
      <c r="AA62" s="15"/>
      <c r="AB62" s="15"/>
      <c r="AC62" s="15"/>
      <c r="AD62" s="15">
        <f>632-600</f>
        <v>32</v>
      </c>
      <c r="AE62" s="15"/>
      <c r="AF62" s="15">
        <v>63</v>
      </c>
      <c r="AG62" s="15">
        <f>189-100-4</f>
        <v>85</v>
      </c>
      <c r="AH62" s="15"/>
      <c r="AI62" s="15"/>
      <c r="AJ62" s="15"/>
      <c r="AK62" s="15">
        <f>379-300</f>
        <v>79</v>
      </c>
      <c r="AL62" s="15">
        <f t="shared" si="89"/>
        <v>259</v>
      </c>
      <c r="AM62" s="15"/>
      <c r="AN62" s="15"/>
      <c r="AO62" s="15"/>
      <c r="AP62" s="15"/>
      <c r="AQ62" s="15"/>
      <c r="AR62" s="827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>
        <v>314</v>
      </c>
      <c r="BG62" s="15"/>
      <c r="BH62" s="15">
        <f t="shared" si="81"/>
        <v>19063</v>
      </c>
      <c r="BI62" s="447">
        <f>ROUND(BH62/E62,3)</f>
        <v>414.41300000000001</v>
      </c>
      <c r="BJ62" s="76">
        <f t="shared" si="102"/>
        <v>14201</v>
      </c>
      <c r="BK62" s="76">
        <f t="shared" si="102"/>
        <v>4289</v>
      </c>
      <c r="BL62" s="76">
        <f>Z62+AB62+AC62+AA62</f>
        <v>0</v>
      </c>
      <c r="BM62" s="76">
        <f>BF62</f>
        <v>314</v>
      </c>
      <c r="BN62" s="76">
        <f>BE62</f>
        <v>0</v>
      </c>
      <c r="BO62" s="76">
        <f>BG62+AL62+AM62+AN62+AO62+AP62+AQ62+AS62+AT62+AU62+AV62+AW62+AX62+AY62+AZ62+BA62+BB62+BC62+BD62</f>
        <v>259</v>
      </c>
      <c r="BP62" s="92">
        <f>SUM(BJ62:BO62)</f>
        <v>19063</v>
      </c>
    </row>
    <row r="63" spans="1:68" ht="15" customHeight="1">
      <c r="A63" s="858"/>
      <c r="B63" s="849"/>
      <c r="C63" s="849"/>
      <c r="D63" s="157" t="s">
        <v>192</v>
      </c>
      <c r="E63" s="313">
        <v>593</v>
      </c>
      <c r="F63" s="829"/>
      <c r="G63" s="8">
        <f>ROUND((V63+W63)/E63,2)</f>
        <v>401.96</v>
      </c>
      <c r="H63" s="8">
        <f t="shared" si="99"/>
        <v>0</v>
      </c>
      <c r="I63" s="8">
        <f>G63+H63</f>
        <v>401.96</v>
      </c>
      <c r="J63" s="451">
        <f t="shared" si="46"/>
        <v>2.415</v>
      </c>
      <c r="K63" s="8">
        <f t="shared" si="88"/>
        <v>0</v>
      </c>
      <c r="L63" s="8">
        <f t="shared" si="65"/>
        <v>0</v>
      </c>
      <c r="M63" s="8">
        <f t="shared" si="90"/>
        <v>0</v>
      </c>
      <c r="N63" s="11">
        <f t="shared" si="66"/>
        <v>0</v>
      </c>
      <c r="O63" s="11">
        <f>ROUND(BF63/E63,3)</f>
        <v>20</v>
      </c>
      <c r="P63" s="453">
        <f t="shared" si="50"/>
        <v>1.0349999999999999</v>
      </c>
      <c r="Q63" s="8">
        <f>P63+O63+N63+M63+L63+K63+J63+I63</f>
        <v>425.40999999999997</v>
      </c>
      <c r="R63" s="8">
        <f t="shared" si="70"/>
        <v>0</v>
      </c>
      <c r="S63" s="8">
        <f t="shared" si="91"/>
        <v>0</v>
      </c>
      <c r="T63" s="627">
        <f t="shared" si="94"/>
        <v>425.40999999999997</v>
      </c>
      <c r="U63" s="829"/>
      <c r="V63" s="15">
        <v>183076</v>
      </c>
      <c r="W63" s="15">
        <f>ROUND(V63*0.302,0)</f>
        <v>55289</v>
      </c>
      <c r="X63" s="15"/>
      <c r="Y63" s="15"/>
      <c r="Z63" s="15"/>
      <c r="AA63" s="15"/>
      <c r="AB63" s="15"/>
      <c r="AC63" s="15"/>
      <c r="AD63" s="15">
        <v>1023</v>
      </c>
      <c r="AE63" s="15"/>
      <c r="AF63" s="15">
        <v>102</v>
      </c>
      <c r="AG63" s="15">
        <v>307</v>
      </c>
      <c r="AH63" s="15"/>
      <c r="AI63" s="15"/>
      <c r="AJ63" s="15"/>
      <c r="AK63" s="15">
        <v>614</v>
      </c>
      <c r="AL63" s="15">
        <f t="shared" si="89"/>
        <v>2046</v>
      </c>
      <c r="AM63" s="15"/>
      <c r="AN63" s="15"/>
      <c r="AO63" s="15"/>
      <c r="AP63" s="15"/>
      <c r="AQ63" s="15"/>
      <c r="AR63" s="827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>
        <f>ROUND(E63*20,0)</f>
        <v>11860</v>
      </c>
      <c r="BG63" s="15"/>
      <c r="BH63" s="15">
        <f t="shared" si="81"/>
        <v>252271</v>
      </c>
      <c r="BI63" s="447">
        <f t="shared" si="101"/>
        <v>425.41</v>
      </c>
      <c r="BJ63" s="76">
        <f t="shared" si="102"/>
        <v>183076</v>
      </c>
      <c r="BK63" s="76">
        <f t="shared" si="102"/>
        <v>55289</v>
      </c>
      <c r="BL63" s="76">
        <f>Z63+AB63+AC63+AA63</f>
        <v>0</v>
      </c>
      <c r="BM63" s="76">
        <f>BF63</f>
        <v>11860</v>
      </c>
      <c r="BN63" s="76">
        <f>BE63</f>
        <v>0</v>
      </c>
      <c r="BO63" s="76">
        <f>BG63+AL63+AM63+AN63+AO63+AP63+AQ63+AS63+AT63+AU63+AV63+AW63+AX63+AY63+AZ63+BA63+BB63+BC63+BD63</f>
        <v>2046</v>
      </c>
      <c r="BP63" s="92">
        <f>SUM(BJ63:BO63)</f>
        <v>252271</v>
      </c>
    </row>
    <row r="64" spans="1:68" ht="15" customHeight="1">
      <c r="A64" s="858"/>
      <c r="B64" s="850"/>
      <c r="C64" s="850"/>
      <c r="D64" s="157" t="s">
        <v>193</v>
      </c>
      <c r="E64" s="313">
        <v>140</v>
      </c>
      <c r="F64" s="829"/>
      <c r="G64" s="8">
        <f t="shared" si="96"/>
        <v>395.62900000000002</v>
      </c>
      <c r="H64" s="8">
        <f t="shared" si="99"/>
        <v>0</v>
      </c>
      <c r="I64" s="8">
        <f>G64+H64</f>
        <v>395.62900000000002</v>
      </c>
      <c r="J64" s="451">
        <f t="shared" si="46"/>
        <v>2.4140000000000001</v>
      </c>
      <c r="K64" s="8">
        <f t="shared" si="88"/>
        <v>0</v>
      </c>
      <c r="L64" s="8">
        <f t="shared" si="65"/>
        <v>0</v>
      </c>
      <c r="M64" s="8">
        <f t="shared" si="90"/>
        <v>0</v>
      </c>
      <c r="N64" s="11">
        <f t="shared" si="66"/>
        <v>0</v>
      </c>
      <c r="O64" s="11">
        <f t="shared" si="100"/>
        <v>20</v>
      </c>
      <c r="P64" s="453">
        <f t="shared" si="50"/>
        <v>1.036</v>
      </c>
      <c r="Q64" s="8">
        <f>P64+O64+N64+M64+L64+K64+J64+I64</f>
        <v>419.07900000000001</v>
      </c>
      <c r="R64" s="8">
        <f t="shared" si="70"/>
        <v>0</v>
      </c>
      <c r="S64" s="8">
        <f t="shared" si="91"/>
        <v>0</v>
      </c>
      <c r="T64" s="627">
        <f t="shared" si="94"/>
        <v>419.07900000000001</v>
      </c>
      <c r="U64" s="829"/>
      <c r="V64" s="15">
        <v>42541</v>
      </c>
      <c r="W64" s="15">
        <f>ROUND(V64*0.302,0)</f>
        <v>12847</v>
      </c>
      <c r="X64" s="15"/>
      <c r="Y64" s="15"/>
      <c r="Z64" s="15"/>
      <c r="AA64" s="15"/>
      <c r="AB64" s="15"/>
      <c r="AC64" s="15"/>
      <c r="AD64" s="15">
        <v>242</v>
      </c>
      <c r="AE64" s="15"/>
      <c r="AF64" s="15">
        <v>24</v>
      </c>
      <c r="AG64" s="15">
        <v>72</v>
      </c>
      <c r="AH64" s="15"/>
      <c r="AI64" s="15"/>
      <c r="AJ64" s="15"/>
      <c r="AK64" s="15">
        <v>145</v>
      </c>
      <c r="AL64" s="15">
        <f t="shared" si="89"/>
        <v>483</v>
      </c>
      <c r="AM64" s="15"/>
      <c r="AN64" s="15"/>
      <c r="AO64" s="15"/>
      <c r="AP64" s="15"/>
      <c r="AQ64" s="15"/>
      <c r="AR64" s="827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>
        <f>ROUND(E64*20,0)</f>
        <v>2800</v>
      </c>
      <c r="BG64" s="15"/>
      <c r="BH64" s="15">
        <f t="shared" si="81"/>
        <v>58671</v>
      </c>
      <c r="BI64" s="447">
        <f t="shared" si="101"/>
        <v>419.08</v>
      </c>
      <c r="BJ64" s="76">
        <f t="shared" si="102"/>
        <v>42541</v>
      </c>
      <c r="BK64" s="76">
        <f t="shared" si="102"/>
        <v>12847</v>
      </c>
      <c r="BL64" s="76">
        <f>Z64+AB64+AC64+AA64</f>
        <v>0</v>
      </c>
      <c r="BM64" s="76">
        <f>BF64</f>
        <v>2800</v>
      </c>
      <c r="BN64" s="76">
        <f>BE64</f>
        <v>0</v>
      </c>
      <c r="BO64" s="76">
        <f>BG64+AL64+AM64+AN64+AO64+AP64+AQ64+AS64+AT64+AU64+AV64+AW64+AX64+AY64+AZ64+BA64+BB64+BC64+BD64</f>
        <v>483</v>
      </c>
      <c r="BP64" s="92">
        <f>SUM(BJ64:BO64)</f>
        <v>58671</v>
      </c>
    </row>
    <row r="65" spans="1:68" ht="60">
      <c r="A65" s="859"/>
      <c r="B65" s="9" t="s">
        <v>198</v>
      </c>
      <c r="C65" s="9" t="s">
        <v>196</v>
      </c>
      <c r="D65" s="157"/>
      <c r="E65" s="313">
        <v>5135</v>
      </c>
      <c r="F65" s="830"/>
      <c r="G65" s="8">
        <f t="shared" si="96"/>
        <v>186.40700000000001</v>
      </c>
      <c r="H65" s="8">
        <f t="shared" si="99"/>
        <v>0</v>
      </c>
      <c r="I65" s="8">
        <f>G65+H65</f>
        <v>186.40700000000001</v>
      </c>
      <c r="J65" s="451">
        <f t="shared" si="46"/>
        <v>0.72099999999999997</v>
      </c>
      <c r="K65" s="8">
        <f t="shared" si="88"/>
        <v>0</v>
      </c>
      <c r="L65" s="8">
        <f t="shared" si="65"/>
        <v>0</v>
      </c>
      <c r="M65" s="8">
        <f t="shared" si="90"/>
        <v>0</v>
      </c>
      <c r="N65" s="11">
        <f t="shared" si="66"/>
        <v>0</v>
      </c>
      <c r="O65" s="11">
        <f t="shared" si="100"/>
        <v>4.09</v>
      </c>
      <c r="P65" s="453">
        <f t="shared" si="50"/>
        <v>0.53100000000000003</v>
      </c>
      <c r="Q65" s="8">
        <f>P65+O65+N65+M65+L65+K65+J65+I65</f>
        <v>191.74900000000002</v>
      </c>
      <c r="R65" s="8">
        <f t="shared" si="70"/>
        <v>0</v>
      </c>
      <c r="S65" s="8">
        <f t="shared" si="91"/>
        <v>0</v>
      </c>
      <c r="T65" s="627">
        <f t="shared" si="94"/>
        <v>191.74900000000002</v>
      </c>
      <c r="U65" s="830"/>
      <c r="V65" s="15">
        <f>1186450-V61-V62-V63-V64</f>
        <v>735152</v>
      </c>
      <c r="W65" s="15">
        <f>358340-W61-W62-W63-W64</f>
        <v>222048</v>
      </c>
      <c r="X65" s="15"/>
      <c r="Y65" s="15"/>
      <c r="Z65" s="15"/>
      <c r="AA65" s="15"/>
      <c r="AB65" s="15"/>
      <c r="AC65" s="15"/>
      <c r="AD65" s="15">
        <f>11583.28-AL61-AL62-AL63-AL64-AF65-AG65-AK65</f>
        <v>3079.2800000000007</v>
      </c>
      <c r="AE65" s="15"/>
      <c r="AF65" s="15">
        <v>405</v>
      </c>
      <c r="AG65" s="15">
        <f>215+4</f>
        <v>219</v>
      </c>
      <c r="AH65" s="15"/>
      <c r="AI65" s="15"/>
      <c r="AJ65" s="15"/>
      <c r="AK65" s="15">
        <f>2429+300</f>
        <v>2729</v>
      </c>
      <c r="AL65" s="15">
        <f t="shared" si="89"/>
        <v>6432.2800000000007</v>
      </c>
      <c r="AM65" s="15"/>
      <c r="AN65" s="15"/>
      <c r="AO65" s="15"/>
      <c r="AP65" s="15"/>
      <c r="AQ65" s="15"/>
      <c r="AR65" s="828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>
        <v>21005.31</v>
      </c>
      <c r="BG65" s="15"/>
      <c r="BH65" s="15">
        <f t="shared" si="81"/>
        <v>984637.59000000008</v>
      </c>
      <c r="BI65" s="447">
        <f t="shared" si="101"/>
        <v>191.75</v>
      </c>
      <c r="BJ65" s="76">
        <f t="shared" si="102"/>
        <v>735152</v>
      </c>
      <c r="BK65" s="76">
        <f t="shared" si="102"/>
        <v>222048</v>
      </c>
      <c r="BL65" s="76">
        <f>Z65+AB65+AC65+AA65</f>
        <v>0</v>
      </c>
      <c r="BM65" s="76">
        <f>BF65</f>
        <v>21005.31</v>
      </c>
      <c r="BN65" s="76">
        <f>BE65</f>
        <v>0</v>
      </c>
      <c r="BO65" s="76">
        <f>BG65+AL65+AM65+AN65+AO65+AP65+AQ65+AS65+AT65+AU65+AV65+AW65+AX65+AY65+AZ65+BA65+BB65+BC65+BD65</f>
        <v>6432.2800000000007</v>
      </c>
      <c r="BP65" s="92">
        <f>SUM(BJ65:BO65)</f>
        <v>984637.59000000008</v>
      </c>
    </row>
    <row r="66" spans="1:68" ht="27.75" customHeight="1">
      <c r="A66" s="109" t="s">
        <v>251</v>
      </c>
      <c r="B66" s="29"/>
      <c r="C66" s="29" t="s">
        <v>252</v>
      </c>
      <c r="D66" s="158"/>
      <c r="E66" s="32">
        <v>8063</v>
      </c>
      <c r="F66" s="159"/>
      <c r="G66" s="30">
        <f>ROUND((V66+W66)/E66,2)</f>
        <v>191.59</v>
      </c>
      <c r="H66" s="30">
        <f t="shared" si="99"/>
        <v>0</v>
      </c>
      <c r="I66" s="30">
        <f t="shared" ref="I66:I83" si="103">G66+H66</f>
        <v>191.59</v>
      </c>
      <c r="J66" s="30">
        <f>ROUND((AL66-AK66)/E66,2)</f>
        <v>0.91</v>
      </c>
      <c r="K66" s="30">
        <f t="shared" si="88"/>
        <v>0</v>
      </c>
      <c r="L66" s="30">
        <f t="shared" si="65"/>
        <v>0</v>
      </c>
      <c r="M66" s="30">
        <f t="shared" si="90"/>
        <v>0</v>
      </c>
      <c r="N66" s="33">
        <f t="shared" si="66"/>
        <v>0</v>
      </c>
      <c r="O66" s="33">
        <f t="shared" si="100"/>
        <v>4.63</v>
      </c>
      <c r="P66" s="33">
        <f>ROUND(AK66/E66,3)</f>
        <v>0.53</v>
      </c>
      <c r="Q66" s="30">
        <f t="shared" ref="Q66:Q83" si="104">P66+O66+N66+M66+L66+K66+J66+I66</f>
        <v>197.66</v>
      </c>
      <c r="R66" s="30">
        <f t="shared" si="70"/>
        <v>0</v>
      </c>
      <c r="S66" s="30">
        <f t="shared" si="91"/>
        <v>0</v>
      </c>
      <c r="T66" s="627">
        <f t="shared" ref="T66:T72" si="105">Q66+R66+S66</f>
        <v>197.66</v>
      </c>
      <c r="U66" s="159"/>
      <c r="V66" s="24">
        <f>SUM(V61:V65)</f>
        <v>1186450</v>
      </c>
      <c r="W66" s="24">
        <f>SUM(W61:W65)</f>
        <v>358340</v>
      </c>
      <c r="X66" s="24">
        <f>SUM(X61:X65)</f>
        <v>0</v>
      </c>
      <c r="Y66" s="24">
        <f t="shared" ref="Y66:BG66" si="106">Y61+Y62+Y63+Y64+Y65</f>
        <v>0</v>
      </c>
      <c r="Z66" s="24">
        <f t="shared" si="106"/>
        <v>0</v>
      </c>
      <c r="AA66" s="24">
        <f t="shared" si="106"/>
        <v>0</v>
      </c>
      <c r="AB66" s="24">
        <f t="shared" si="106"/>
        <v>0</v>
      </c>
      <c r="AC66" s="24">
        <f t="shared" si="106"/>
        <v>0</v>
      </c>
      <c r="AD66" s="24">
        <f t="shared" si="106"/>
        <v>5558.2800000000007</v>
      </c>
      <c r="AE66" s="24">
        <f t="shared" si="106"/>
        <v>0</v>
      </c>
      <c r="AF66" s="24">
        <f t="shared" si="106"/>
        <v>712</v>
      </c>
      <c r="AG66" s="24">
        <f t="shared" si="106"/>
        <v>1037</v>
      </c>
      <c r="AH66" s="24">
        <f t="shared" si="106"/>
        <v>0</v>
      </c>
      <c r="AI66" s="24">
        <f t="shared" si="106"/>
        <v>0</v>
      </c>
      <c r="AJ66" s="24">
        <f t="shared" si="106"/>
        <v>0</v>
      </c>
      <c r="AK66" s="24">
        <f t="shared" si="106"/>
        <v>4276</v>
      </c>
      <c r="AL66" s="24">
        <f t="shared" si="106"/>
        <v>11583.28</v>
      </c>
      <c r="AM66" s="24">
        <f t="shared" si="106"/>
        <v>0</v>
      </c>
      <c r="AN66" s="24">
        <f t="shared" si="106"/>
        <v>0</v>
      </c>
      <c r="AO66" s="24">
        <f t="shared" si="106"/>
        <v>0</v>
      </c>
      <c r="AP66" s="24">
        <f t="shared" si="106"/>
        <v>0</v>
      </c>
      <c r="AQ66" s="24">
        <f t="shared" si="106"/>
        <v>0</v>
      </c>
      <c r="AR66" s="307"/>
      <c r="AS66" s="24">
        <f t="shared" si="106"/>
        <v>0</v>
      </c>
      <c r="AT66" s="24">
        <f t="shared" si="106"/>
        <v>0</v>
      </c>
      <c r="AU66" s="24">
        <f t="shared" si="106"/>
        <v>0</v>
      </c>
      <c r="AV66" s="24">
        <f t="shared" si="106"/>
        <v>0</v>
      </c>
      <c r="AW66" s="24">
        <f t="shared" si="106"/>
        <v>0</v>
      </c>
      <c r="AX66" s="24">
        <f t="shared" si="106"/>
        <v>0</v>
      </c>
      <c r="AY66" s="24">
        <f t="shared" si="106"/>
        <v>0</v>
      </c>
      <c r="AZ66" s="24">
        <f t="shared" si="106"/>
        <v>0</v>
      </c>
      <c r="BA66" s="24">
        <f t="shared" si="106"/>
        <v>0</v>
      </c>
      <c r="BB66" s="24">
        <f t="shared" si="106"/>
        <v>0</v>
      </c>
      <c r="BC66" s="24">
        <f t="shared" si="106"/>
        <v>0</v>
      </c>
      <c r="BD66" s="24">
        <f t="shared" si="106"/>
        <v>0</v>
      </c>
      <c r="BE66" s="24">
        <f t="shared" si="106"/>
        <v>0</v>
      </c>
      <c r="BF66" s="24">
        <f>BF61+BF62+BF63+BF64+BF65</f>
        <v>37349.31</v>
      </c>
      <c r="BG66" s="24">
        <f t="shared" si="106"/>
        <v>0</v>
      </c>
      <c r="BH66" s="24">
        <f t="shared" si="81"/>
        <v>1593722.59</v>
      </c>
      <c r="BI66" s="447">
        <f t="shared" si="101"/>
        <v>197.66</v>
      </c>
      <c r="BJ66" s="24">
        <f t="shared" ref="BJ66:BP66" si="107">BJ61+BJ62+BJ63+BJ64+BJ65</f>
        <v>1186450</v>
      </c>
      <c r="BK66" s="24">
        <f t="shared" si="107"/>
        <v>358340</v>
      </c>
      <c r="BL66" s="24">
        <f t="shared" si="107"/>
        <v>0</v>
      </c>
      <c r="BM66" s="24">
        <f t="shared" si="107"/>
        <v>37349.31</v>
      </c>
      <c r="BN66" s="24">
        <f t="shared" si="107"/>
        <v>0</v>
      </c>
      <c r="BO66" s="24">
        <f t="shared" si="107"/>
        <v>11583.28</v>
      </c>
      <c r="BP66" s="24">
        <f t="shared" si="107"/>
        <v>1593722.59</v>
      </c>
    </row>
    <row r="67" spans="1:68" ht="19.5" customHeight="1">
      <c r="A67" s="857" t="s">
        <v>194</v>
      </c>
      <c r="B67" s="648" t="s">
        <v>197</v>
      </c>
      <c r="C67" s="648" t="s">
        <v>189</v>
      </c>
      <c r="D67" s="157" t="s">
        <v>190</v>
      </c>
      <c r="E67" s="313">
        <v>343</v>
      </c>
      <c r="F67" s="671" t="s">
        <v>202</v>
      </c>
      <c r="G67" s="8">
        <f>ROUND((V67+W67)/E67,2)</f>
        <v>401.7</v>
      </c>
      <c r="H67" s="8">
        <f t="shared" si="99"/>
        <v>0</v>
      </c>
      <c r="I67" s="8">
        <f t="shared" si="103"/>
        <v>401.7</v>
      </c>
      <c r="J67" s="451">
        <f>ROUND((AL67-AK67)/E67,2)</f>
        <v>3.87</v>
      </c>
      <c r="K67" s="8">
        <f t="shared" si="88"/>
        <v>0</v>
      </c>
      <c r="L67" s="8">
        <f t="shared" si="65"/>
        <v>0</v>
      </c>
      <c r="M67" s="8">
        <f t="shared" si="90"/>
        <v>0</v>
      </c>
      <c r="N67" s="11">
        <f t="shared" si="66"/>
        <v>0</v>
      </c>
      <c r="O67" s="11">
        <f>ROUND(BF67/E67,2)</f>
        <v>2</v>
      </c>
      <c r="P67" s="453">
        <f t="shared" si="50"/>
        <v>1.659</v>
      </c>
      <c r="Q67" s="8">
        <f t="shared" si="104"/>
        <v>409.22899999999998</v>
      </c>
      <c r="R67" s="8">
        <f t="shared" si="70"/>
        <v>0</v>
      </c>
      <c r="S67" s="8">
        <f t="shared" si="91"/>
        <v>0</v>
      </c>
      <c r="T67" s="627">
        <f t="shared" si="105"/>
        <v>409.22899999999998</v>
      </c>
      <c r="U67" s="671" t="s">
        <v>202</v>
      </c>
      <c r="V67" s="15">
        <v>105823</v>
      </c>
      <c r="W67" s="15">
        <f>ROUND(V67*0.302,0)</f>
        <v>31959</v>
      </c>
      <c r="X67" s="15"/>
      <c r="Y67" s="15"/>
      <c r="Z67" s="15"/>
      <c r="AA67" s="15"/>
      <c r="AB67" s="15"/>
      <c r="AC67" s="15"/>
      <c r="AD67" s="15">
        <v>948</v>
      </c>
      <c r="AE67" s="15"/>
      <c r="AF67" s="15">
        <v>95</v>
      </c>
      <c r="AG67" s="15">
        <v>284</v>
      </c>
      <c r="AH67" s="15"/>
      <c r="AI67" s="15"/>
      <c r="AJ67" s="15"/>
      <c r="AK67" s="15">
        <v>569</v>
      </c>
      <c r="AL67" s="15">
        <f t="shared" si="89"/>
        <v>1896</v>
      </c>
      <c r="AM67" s="15"/>
      <c r="AN67" s="15"/>
      <c r="AO67" s="15"/>
      <c r="AP67" s="15"/>
      <c r="AQ67" s="15"/>
      <c r="AR67" s="705" t="s">
        <v>202</v>
      </c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>
        <f>ROUND(E67*2,0)</f>
        <v>686</v>
      </c>
      <c r="BG67" s="15"/>
      <c r="BH67" s="15">
        <f t="shared" si="81"/>
        <v>140364</v>
      </c>
      <c r="BI67" s="447">
        <f>ROUND(BH67/E67,3)</f>
        <v>409.22399999999999</v>
      </c>
      <c r="BJ67" s="76">
        <f t="shared" ref="BJ67:BK71" si="108">V67+X67</f>
        <v>105823</v>
      </c>
      <c r="BK67" s="76">
        <f t="shared" si="108"/>
        <v>31959</v>
      </c>
      <c r="BL67" s="76">
        <f>Z67+AB67+AC67+AA67</f>
        <v>0</v>
      </c>
      <c r="BM67" s="76">
        <f>BF67</f>
        <v>686</v>
      </c>
      <c r="BN67" s="76">
        <f>BE67</f>
        <v>0</v>
      </c>
      <c r="BO67" s="76">
        <f>BG67+AL67+AM67+AN67+AO67+AP67+AQ67+AS67+AT67+AU67+AV67+AW67+AX67+AY67+AZ67+BA67+BB67+BC67+BD67</f>
        <v>1896</v>
      </c>
      <c r="BP67" s="92">
        <f>SUM(BJ67:BO67)</f>
        <v>140364</v>
      </c>
    </row>
    <row r="68" spans="1:68" ht="19.5" customHeight="1">
      <c r="A68" s="858"/>
      <c r="B68" s="849"/>
      <c r="C68" s="849"/>
      <c r="D68" s="157" t="s">
        <v>191</v>
      </c>
      <c r="E68" s="313">
        <v>179</v>
      </c>
      <c r="F68" s="829"/>
      <c r="G68" s="8">
        <f t="shared" ref="G68:G83" si="109">ROUND((V68+W68)/E68,3)</f>
        <v>401.69799999999998</v>
      </c>
      <c r="H68" s="8">
        <f t="shared" si="99"/>
        <v>0</v>
      </c>
      <c r="I68" s="8">
        <f t="shared" si="103"/>
        <v>401.69799999999998</v>
      </c>
      <c r="J68" s="451">
        <f t="shared" si="46"/>
        <v>3.7210000000000001</v>
      </c>
      <c r="K68" s="8">
        <f t="shared" si="88"/>
        <v>0</v>
      </c>
      <c r="L68" s="8">
        <f t="shared" si="65"/>
        <v>0</v>
      </c>
      <c r="M68" s="8">
        <f t="shared" si="90"/>
        <v>0</v>
      </c>
      <c r="N68" s="11">
        <f t="shared" si="66"/>
        <v>0</v>
      </c>
      <c r="O68" s="11">
        <f t="shared" si="100"/>
        <v>9</v>
      </c>
      <c r="P68" s="453">
        <f t="shared" si="50"/>
        <v>3.391</v>
      </c>
      <c r="Q68" s="8">
        <f t="shared" si="104"/>
        <v>417.81</v>
      </c>
      <c r="R68" s="8">
        <f t="shared" si="70"/>
        <v>0</v>
      </c>
      <c r="S68" s="8">
        <f t="shared" si="91"/>
        <v>0</v>
      </c>
      <c r="T68" s="627">
        <f t="shared" si="105"/>
        <v>417.81</v>
      </c>
      <c r="U68" s="829"/>
      <c r="V68" s="15">
        <v>55226</v>
      </c>
      <c r="W68" s="15">
        <f>ROUND(V68*0.302,0)</f>
        <v>16678</v>
      </c>
      <c r="X68" s="15"/>
      <c r="Y68" s="15"/>
      <c r="Z68" s="15"/>
      <c r="AA68" s="15"/>
      <c r="AB68" s="15"/>
      <c r="AC68" s="15"/>
      <c r="AD68" s="15">
        <v>512</v>
      </c>
      <c r="AE68" s="15"/>
      <c r="AF68" s="15">
        <v>101</v>
      </c>
      <c r="AG68" s="15">
        <v>53</v>
      </c>
      <c r="AH68" s="15"/>
      <c r="AI68" s="15"/>
      <c r="AJ68" s="15"/>
      <c r="AK68" s="15">
        <v>607</v>
      </c>
      <c r="AL68" s="15">
        <f t="shared" si="89"/>
        <v>1273</v>
      </c>
      <c r="AM68" s="15"/>
      <c r="AN68" s="15"/>
      <c r="AO68" s="15"/>
      <c r="AP68" s="15"/>
      <c r="AQ68" s="15"/>
      <c r="AR68" s="827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>
        <f>ROUND(E68*9,0)</f>
        <v>1611</v>
      </c>
      <c r="BG68" s="15"/>
      <c r="BH68" s="15">
        <f t="shared" si="81"/>
        <v>74788</v>
      </c>
      <c r="BI68" s="447">
        <f>ROUND(BH68/E68,3)</f>
        <v>417.81</v>
      </c>
      <c r="BJ68" s="76">
        <f t="shared" si="108"/>
        <v>55226</v>
      </c>
      <c r="BK68" s="76">
        <f t="shared" si="108"/>
        <v>16678</v>
      </c>
      <c r="BL68" s="76">
        <f>Z68+AB68+AC68+AA68</f>
        <v>0</v>
      </c>
      <c r="BM68" s="76">
        <f>BF68</f>
        <v>1611</v>
      </c>
      <c r="BN68" s="76">
        <f>BE68</f>
        <v>0</v>
      </c>
      <c r="BO68" s="76">
        <f>BG68+AL68+AM68+AN68+AO68+AP68+AQ68+AS68+AT68+AU68+AV68+AW68+AX68+AY68+AZ68+BA68+BB68+BC68+BD68</f>
        <v>1273</v>
      </c>
      <c r="BP68" s="92">
        <f>SUM(BJ68:BO68)</f>
        <v>74788</v>
      </c>
    </row>
    <row r="69" spans="1:68" ht="17.25" customHeight="1">
      <c r="A69" s="858"/>
      <c r="B69" s="849"/>
      <c r="C69" s="849"/>
      <c r="D69" s="157" t="s">
        <v>192</v>
      </c>
      <c r="E69" s="313">
        <v>29</v>
      </c>
      <c r="F69" s="829"/>
      <c r="G69" s="8">
        <f t="shared" si="109"/>
        <v>401.69</v>
      </c>
      <c r="H69" s="8">
        <f>ROUND((X69+Y69)/E69,2)</f>
        <v>0</v>
      </c>
      <c r="I69" s="8">
        <f>G69+H69</f>
        <v>401.69</v>
      </c>
      <c r="J69" s="451">
        <f t="shared" si="46"/>
        <v>12.616</v>
      </c>
      <c r="K69" s="8">
        <f>ROUND((AM69+AN69+AO69+AP69+AQ69)/E69,2)</f>
        <v>0</v>
      </c>
      <c r="L69" s="8">
        <f>ROUND((AS69+AT69+AU69+AV69+AW69)/E69,2)</f>
        <v>0</v>
      </c>
      <c r="M69" s="8">
        <f>ROUND((AZ69+BA69)/E69,2)</f>
        <v>0</v>
      </c>
      <c r="N69" s="11">
        <f>ROUND(BE69/E69,2)</f>
        <v>0</v>
      </c>
      <c r="O69" s="11">
        <f>ROUND(BF69/E69,2)</f>
        <v>20</v>
      </c>
      <c r="P69" s="453">
        <f t="shared" si="50"/>
        <v>16.064</v>
      </c>
      <c r="Q69" s="8">
        <f>P69+O69+N69+M69+L69+K69+J69+I69</f>
        <v>450.37</v>
      </c>
      <c r="R69" s="8">
        <f>ROUND((Z69+AB69+AC69+AA69)/E69,2)</f>
        <v>0</v>
      </c>
      <c r="S69" s="8">
        <f>ROUND(AX69/E69,2)</f>
        <v>0</v>
      </c>
      <c r="T69" s="627">
        <f t="shared" si="105"/>
        <v>450.37</v>
      </c>
      <c r="U69" s="829"/>
      <c r="V69" s="15">
        <v>8947</v>
      </c>
      <c r="W69" s="15">
        <f>ROUND(V69*0.302,0)</f>
        <v>2702</v>
      </c>
      <c r="X69" s="15"/>
      <c r="Y69" s="15"/>
      <c r="Z69" s="15"/>
      <c r="AA69" s="15"/>
      <c r="AB69" s="15"/>
      <c r="AC69" s="15"/>
      <c r="AD69" s="15">
        <v>365.86</v>
      </c>
      <c r="AE69" s="15"/>
      <c r="AF69" s="15">
        <v>0</v>
      </c>
      <c r="AG69" s="15">
        <v>0</v>
      </c>
      <c r="AH69" s="15"/>
      <c r="AI69" s="15"/>
      <c r="AJ69" s="15"/>
      <c r="AK69" s="15">
        <v>465.86</v>
      </c>
      <c r="AL69" s="15">
        <f t="shared" si="89"/>
        <v>831.72</v>
      </c>
      <c r="AM69" s="15"/>
      <c r="AN69" s="15"/>
      <c r="AO69" s="15"/>
      <c r="AP69" s="15"/>
      <c r="AQ69" s="15"/>
      <c r="AR69" s="827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>
        <f>ROUND(E69*20,0)</f>
        <v>580</v>
      </c>
      <c r="BG69" s="15"/>
      <c r="BH69" s="15">
        <f t="shared" si="81"/>
        <v>13060.72</v>
      </c>
      <c r="BI69" s="447">
        <f t="shared" ref="BI69:BI79" si="110">ROUND(BH69/E69,2)</f>
        <v>450.37</v>
      </c>
      <c r="BJ69" s="76">
        <f t="shared" si="108"/>
        <v>8947</v>
      </c>
      <c r="BK69" s="76">
        <f t="shared" si="108"/>
        <v>2702</v>
      </c>
      <c r="BL69" s="76">
        <f>Z69+AB69+AC69+AA69</f>
        <v>0</v>
      </c>
      <c r="BM69" s="76">
        <f>BF69</f>
        <v>580</v>
      </c>
      <c r="BN69" s="76">
        <f>BE69</f>
        <v>0</v>
      </c>
      <c r="BO69" s="76">
        <f>BG69+AL69+AM69+AN69+AO69+AP69+AQ69+AS69+AT69+AU69+AV69+AW69+AX69+AY69+AZ69+BA69+BB69+BC69+BD69</f>
        <v>831.72</v>
      </c>
      <c r="BP69" s="92">
        <f>SUM(BJ69:BO69)</f>
        <v>13060.72</v>
      </c>
    </row>
    <row r="70" spans="1:68" ht="22.5" customHeight="1">
      <c r="A70" s="858"/>
      <c r="B70" s="850"/>
      <c r="C70" s="850"/>
      <c r="D70" s="157" t="s">
        <v>193</v>
      </c>
      <c r="E70" s="313">
        <v>279</v>
      </c>
      <c r="F70" s="829"/>
      <c r="G70" s="8">
        <f t="shared" si="109"/>
        <v>401.71699999999998</v>
      </c>
      <c r="H70" s="8">
        <f>ROUND((X70+Y70)/E70,2)</f>
        <v>0</v>
      </c>
      <c r="I70" s="8">
        <f>G70+H70</f>
        <v>401.71699999999998</v>
      </c>
      <c r="J70" s="451">
        <f t="shared" si="46"/>
        <v>3.867</v>
      </c>
      <c r="K70" s="8">
        <f>ROUND((AM70+AN70+AO70+AP70+AQ70)/E70,2)</f>
        <v>0</v>
      </c>
      <c r="L70" s="8">
        <f>ROUND((AS70+AT70+AU70+AV70+AW70)/E70,2)</f>
        <v>0</v>
      </c>
      <c r="M70" s="8">
        <f>ROUND((AZ70+BA70)/E70,2)</f>
        <v>0</v>
      </c>
      <c r="N70" s="11">
        <f>ROUND(BE70/E70,2)</f>
        <v>0</v>
      </c>
      <c r="O70" s="11">
        <f>ROUND(BF70/E70,2)</f>
        <v>20</v>
      </c>
      <c r="P70" s="453">
        <f t="shared" si="50"/>
        <v>1.659</v>
      </c>
      <c r="Q70" s="8">
        <f>P70+O70+N70+M70+L70+K70+J70+I70</f>
        <v>427.24299999999999</v>
      </c>
      <c r="R70" s="8">
        <f>ROUND((Z70+AB70+AC70+AA70)/E70,2)</f>
        <v>0</v>
      </c>
      <c r="S70" s="8">
        <f>ROUND(AX70/E70,2)</f>
        <v>0</v>
      </c>
      <c r="T70" s="627">
        <f t="shared" si="105"/>
        <v>427.24299999999999</v>
      </c>
      <c r="U70" s="829"/>
      <c r="V70" s="15">
        <v>86082</v>
      </c>
      <c r="W70" s="15">
        <f>ROUND(V70*0.302,0)</f>
        <v>25997</v>
      </c>
      <c r="X70" s="15"/>
      <c r="Y70" s="15"/>
      <c r="Z70" s="15"/>
      <c r="AA70" s="15"/>
      <c r="AB70" s="15"/>
      <c r="AC70" s="15"/>
      <c r="AD70" s="15">
        <v>771</v>
      </c>
      <c r="AE70" s="15"/>
      <c r="AF70" s="15">
        <v>77</v>
      </c>
      <c r="AG70" s="15">
        <v>231</v>
      </c>
      <c r="AH70" s="15"/>
      <c r="AI70" s="15"/>
      <c r="AJ70" s="15"/>
      <c r="AK70" s="15">
        <v>463</v>
      </c>
      <c r="AL70" s="15">
        <f t="shared" si="89"/>
        <v>1542</v>
      </c>
      <c r="AM70" s="15"/>
      <c r="AN70" s="15"/>
      <c r="AO70" s="15"/>
      <c r="AP70" s="15"/>
      <c r="AQ70" s="15"/>
      <c r="AR70" s="827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>
        <f>ROUND(E70*20,0)</f>
        <v>5580</v>
      </c>
      <c r="BG70" s="15"/>
      <c r="BH70" s="15">
        <f t="shared" si="81"/>
        <v>119201</v>
      </c>
      <c r="BI70" s="447">
        <f t="shared" si="110"/>
        <v>427.24</v>
      </c>
      <c r="BJ70" s="76">
        <f t="shared" si="108"/>
        <v>86082</v>
      </c>
      <c r="BK70" s="76">
        <f t="shared" si="108"/>
        <v>25997</v>
      </c>
      <c r="BL70" s="76">
        <f>Z70+AB70+AC70+AA70</f>
        <v>0</v>
      </c>
      <c r="BM70" s="76">
        <f>BF70</f>
        <v>5580</v>
      </c>
      <c r="BN70" s="76">
        <f>BE70</f>
        <v>0</v>
      </c>
      <c r="BO70" s="76">
        <f>BG70+AL70+AM70+AN70+AO70+AP70+AQ70+AS70+AT70+AU70+AV70+AW70+AX70+AY70+AZ70+BA70+BB70+BC70+BD70</f>
        <v>1542</v>
      </c>
      <c r="BP70" s="92">
        <f>SUM(BJ70:BO70)</f>
        <v>119201</v>
      </c>
    </row>
    <row r="71" spans="1:68" ht="60">
      <c r="A71" s="859"/>
      <c r="B71" s="9" t="s">
        <v>198</v>
      </c>
      <c r="C71" s="9" t="s">
        <v>196</v>
      </c>
      <c r="D71" s="157"/>
      <c r="E71" s="313">
        <v>2625</v>
      </c>
      <c r="F71" s="830"/>
      <c r="G71" s="8">
        <f t="shared" si="109"/>
        <v>218.751</v>
      </c>
      <c r="H71" s="8">
        <f t="shared" ref="H71:H79" si="111">ROUND((X71+Y71)/E71,2)</f>
        <v>0</v>
      </c>
      <c r="I71" s="8">
        <f t="shared" si="103"/>
        <v>218.751</v>
      </c>
      <c r="J71" s="451">
        <f t="shared" si="46"/>
        <v>2.0539999999999998</v>
      </c>
      <c r="K71" s="8">
        <f t="shared" ref="K71:K97" si="112">ROUND((AM71+AN71+AO71+AP71+AQ71)/E71,2)</f>
        <v>0</v>
      </c>
      <c r="L71" s="8">
        <f t="shared" ref="L71:L97" si="113">ROUND((AS71+AT71+AU71+AV71+AW71)/E71,2)</f>
        <v>0</v>
      </c>
      <c r="M71" s="8">
        <f t="shared" ref="M71:M97" si="114">ROUND((AZ71+BA71)/E71,2)</f>
        <v>0</v>
      </c>
      <c r="N71" s="11">
        <f t="shared" ref="N71:N97" si="115">ROUND(BE71/E71,2)</f>
        <v>0</v>
      </c>
      <c r="O71" s="11">
        <f t="shared" si="100"/>
        <v>0.95</v>
      </c>
      <c r="P71" s="453">
        <f t="shared" si="50"/>
        <v>0.60199999999999998</v>
      </c>
      <c r="Q71" s="8">
        <f t="shared" si="104"/>
        <v>222.357</v>
      </c>
      <c r="R71" s="8">
        <f t="shared" ref="R71:R97" si="116">ROUND((Z71+AB71+AC71+AA71)/E71,2)</f>
        <v>0</v>
      </c>
      <c r="S71" s="8">
        <f t="shared" ref="S71:S97" si="117">ROUND(AX71/E71,2)</f>
        <v>0</v>
      </c>
      <c r="T71" s="627">
        <f t="shared" si="105"/>
        <v>222.357</v>
      </c>
      <c r="U71" s="830"/>
      <c r="V71" s="15">
        <v>441003.6</v>
      </c>
      <c r="W71" s="15">
        <f>210553.37-77336</f>
        <v>133217.37</v>
      </c>
      <c r="X71" s="15"/>
      <c r="Y71" s="15"/>
      <c r="Z71" s="15"/>
      <c r="AA71" s="15"/>
      <c r="AB71" s="15"/>
      <c r="AC71" s="15"/>
      <c r="AD71" s="15">
        <f>3566+500</f>
        <v>4066</v>
      </c>
      <c r="AE71" s="15"/>
      <c r="AF71" s="15">
        <v>253</v>
      </c>
      <c r="AG71" s="15">
        <v>1073</v>
      </c>
      <c r="AH71" s="15"/>
      <c r="AI71" s="15"/>
      <c r="AJ71" s="15"/>
      <c r="AK71" s="15">
        <v>1580.28</v>
      </c>
      <c r="AL71" s="15">
        <f t="shared" si="89"/>
        <v>6972.28</v>
      </c>
      <c r="AM71" s="15"/>
      <c r="AN71" s="15"/>
      <c r="AO71" s="15"/>
      <c r="AP71" s="15"/>
      <c r="AQ71" s="15"/>
      <c r="AR71" s="828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>
        <f>BF72-BF67-BF68-BF69-BF70</f>
        <v>2498</v>
      </c>
      <c r="BG71" s="15"/>
      <c r="BH71" s="15">
        <f t="shared" si="81"/>
        <v>583691.25</v>
      </c>
      <c r="BI71" s="447">
        <f t="shared" si="110"/>
        <v>222.36</v>
      </c>
      <c r="BJ71" s="76">
        <f t="shared" si="108"/>
        <v>441003.6</v>
      </c>
      <c r="BK71" s="76">
        <f t="shared" si="108"/>
        <v>133217.37</v>
      </c>
      <c r="BL71" s="76">
        <f>Z71+AB71+AC71+AA71</f>
        <v>0</v>
      </c>
      <c r="BM71" s="76">
        <f>BF71</f>
        <v>2498</v>
      </c>
      <c r="BN71" s="76">
        <f>BE71</f>
        <v>0</v>
      </c>
      <c r="BO71" s="76">
        <f>BG71+AL71+AM71+AN71+AO71+AP71+AQ71+AS71+AT71+AU71+AV71+AW71+AX71+AY71+AZ71+BA71+BB71+BC71+BD71</f>
        <v>6972.28</v>
      </c>
      <c r="BP71" s="92">
        <f>SUM(BJ71:BO71)</f>
        <v>583691.25</v>
      </c>
    </row>
    <row r="72" spans="1:68" ht="27.75" customHeight="1">
      <c r="A72" s="109" t="s">
        <v>251</v>
      </c>
      <c r="B72" s="29"/>
      <c r="C72" s="29" t="s">
        <v>252</v>
      </c>
      <c r="D72" s="158"/>
      <c r="E72" s="32">
        <v>4285</v>
      </c>
      <c r="F72" s="159"/>
      <c r="G72" s="30">
        <f>ROUND((V72+W72)/E72,3)</f>
        <v>211.81700000000001</v>
      </c>
      <c r="H72" s="30">
        <f t="shared" si="111"/>
        <v>0</v>
      </c>
      <c r="I72" s="30">
        <f t="shared" si="103"/>
        <v>211.81700000000001</v>
      </c>
      <c r="J72" s="30">
        <f>ROUND((AL72-AK72)/E72,3)</f>
        <v>2.0609999999999999</v>
      </c>
      <c r="K72" s="30">
        <f t="shared" si="112"/>
        <v>0</v>
      </c>
      <c r="L72" s="30">
        <f t="shared" si="113"/>
        <v>0</v>
      </c>
      <c r="M72" s="30">
        <f t="shared" si="114"/>
        <v>0</v>
      </c>
      <c r="N72" s="33">
        <f t="shared" si="115"/>
        <v>0</v>
      </c>
      <c r="O72" s="33">
        <f>ROUND(BF72/E72,3)</f>
        <v>2.5569999999999999</v>
      </c>
      <c r="P72" s="33">
        <f>ROUND(AK72/E72,3)</f>
        <v>0.86</v>
      </c>
      <c r="Q72" s="30">
        <f t="shared" si="104"/>
        <v>217.29500000000002</v>
      </c>
      <c r="R72" s="30">
        <f t="shared" si="116"/>
        <v>0</v>
      </c>
      <c r="S72" s="30">
        <f t="shared" si="117"/>
        <v>0</v>
      </c>
      <c r="T72" s="627">
        <f t="shared" si="105"/>
        <v>217.29500000000002</v>
      </c>
      <c r="U72" s="159"/>
      <c r="V72" s="24">
        <f>SUM(V67:V71)</f>
        <v>697081.6</v>
      </c>
      <c r="W72" s="24">
        <f>SUM(W67:W71)</f>
        <v>210553.37</v>
      </c>
      <c r="X72" s="24">
        <f t="shared" ref="X72:BE72" si="118">X67+X68+X69+X70+X71</f>
        <v>0</v>
      </c>
      <c r="Y72" s="24">
        <f t="shared" si="118"/>
        <v>0</v>
      </c>
      <c r="Z72" s="24">
        <f t="shared" si="118"/>
        <v>0</v>
      </c>
      <c r="AA72" s="24">
        <f t="shared" si="118"/>
        <v>0</v>
      </c>
      <c r="AB72" s="24">
        <f t="shared" si="118"/>
        <v>0</v>
      </c>
      <c r="AC72" s="24">
        <f t="shared" si="118"/>
        <v>0</v>
      </c>
      <c r="AD72" s="24">
        <f t="shared" si="118"/>
        <v>6662.8600000000006</v>
      </c>
      <c r="AE72" s="24">
        <f t="shared" si="118"/>
        <v>0</v>
      </c>
      <c r="AF72" s="24">
        <f t="shared" si="118"/>
        <v>526</v>
      </c>
      <c r="AG72" s="24">
        <f t="shared" si="118"/>
        <v>1641</v>
      </c>
      <c r="AH72" s="24">
        <f t="shared" si="118"/>
        <v>0</v>
      </c>
      <c r="AI72" s="24">
        <f t="shared" si="118"/>
        <v>0</v>
      </c>
      <c r="AJ72" s="24">
        <f t="shared" si="118"/>
        <v>0</v>
      </c>
      <c r="AK72" s="24">
        <f t="shared" si="118"/>
        <v>3685.1400000000003</v>
      </c>
      <c r="AL72" s="24">
        <f t="shared" si="118"/>
        <v>12515</v>
      </c>
      <c r="AM72" s="24">
        <f t="shared" si="118"/>
        <v>0</v>
      </c>
      <c r="AN72" s="24">
        <f t="shared" si="118"/>
        <v>0</v>
      </c>
      <c r="AO72" s="24">
        <f t="shared" si="118"/>
        <v>0</v>
      </c>
      <c r="AP72" s="24">
        <f t="shared" si="118"/>
        <v>0</v>
      </c>
      <c r="AQ72" s="24">
        <f t="shared" si="118"/>
        <v>0</v>
      </c>
      <c r="AR72" s="24"/>
      <c r="AS72" s="24">
        <f t="shared" si="118"/>
        <v>0</v>
      </c>
      <c r="AT72" s="24">
        <f t="shared" si="118"/>
        <v>0</v>
      </c>
      <c r="AU72" s="24">
        <f t="shared" si="118"/>
        <v>0</v>
      </c>
      <c r="AV72" s="24">
        <f t="shared" si="118"/>
        <v>0</v>
      </c>
      <c r="AW72" s="24">
        <f t="shared" si="118"/>
        <v>0</v>
      </c>
      <c r="AX72" s="24">
        <f t="shared" si="118"/>
        <v>0</v>
      </c>
      <c r="AY72" s="24">
        <f t="shared" si="118"/>
        <v>0</v>
      </c>
      <c r="AZ72" s="24">
        <f t="shared" si="118"/>
        <v>0</v>
      </c>
      <c r="BA72" s="24">
        <f t="shared" si="118"/>
        <v>0</v>
      </c>
      <c r="BB72" s="24">
        <f t="shared" si="118"/>
        <v>0</v>
      </c>
      <c r="BC72" s="24">
        <f t="shared" si="118"/>
        <v>0</v>
      </c>
      <c r="BD72" s="24">
        <f t="shared" si="118"/>
        <v>0</v>
      </c>
      <c r="BE72" s="24">
        <f t="shared" si="118"/>
        <v>0</v>
      </c>
      <c r="BF72" s="24">
        <v>10955</v>
      </c>
      <c r="BG72" s="24">
        <f>BG67+BG68+BG69+BG70+BG71</f>
        <v>0</v>
      </c>
      <c r="BH72" s="24">
        <f t="shared" si="81"/>
        <v>931104.97</v>
      </c>
      <c r="BI72" s="447">
        <f>ROUND(BH72/E72,3)</f>
        <v>217.29400000000001</v>
      </c>
      <c r="BJ72" s="24">
        <f t="shared" ref="BJ72:BP72" si="119">BJ67+BJ68+BJ69+BJ70+BJ71</f>
        <v>697081.6</v>
      </c>
      <c r="BK72" s="24">
        <f t="shared" si="119"/>
        <v>210553.37</v>
      </c>
      <c r="BL72" s="24">
        <f t="shared" si="119"/>
        <v>0</v>
      </c>
      <c r="BM72" s="24">
        <f t="shared" si="119"/>
        <v>10955</v>
      </c>
      <c r="BN72" s="24">
        <f t="shared" si="119"/>
        <v>0</v>
      </c>
      <c r="BO72" s="24">
        <f t="shared" si="119"/>
        <v>12515</v>
      </c>
      <c r="BP72" s="24">
        <f t="shared" si="119"/>
        <v>931104.97</v>
      </c>
    </row>
    <row r="73" spans="1:68" ht="21" customHeight="1">
      <c r="A73" s="857" t="s">
        <v>194</v>
      </c>
      <c r="B73" s="648" t="s">
        <v>197</v>
      </c>
      <c r="C73" s="648" t="s">
        <v>189</v>
      </c>
      <c r="D73" s="157" t="s">
        <v>190</v>
      </c>
      <c r="E73" s="313">
        <v>343</v>
      </c>
      <c r="F73" s="671" t="s">
        <v>203</v>
      </c>
      <c r="G73" s="8">
        <f t="shared" si="109"/>
        <v>431.53100000000001</v>
      </c>
      <c r="H73" s="8">
        <f t="shared" si="111"/>
        <v>0</v>
      </c>
      <c r="I73" s="8">
        <f t="shared" si="103"/>
        <v>431.53100000000001</v>
      </c>
      <c r="J73" s="451">
        <f t="shared" si="46"/>
        <v>2.411</v>
      </c>
      <c r="K73" s="8">
        <f t="shared" si="112"/>
        <v>0</v>
      </c>
      <c r="L73" s="8">
        <f t="shared" si="113"/>
        <v>0</v>
      </c>
      <c r="M73" s="8">
        <f t="shared" si="114"/>
        <v>0</v>
      </c>
      <c r="N73" s="11">
        <f t="shared" si="115"/>
        <v>0</v>
      </c>
      <c r="O73" s="11">
        <f t="shared" si="100"/>
        <v>2</v>
      </c>
      <c r="P73" s="453">
        <f t="shared" si="50"/>
        <v>1.0349999999999999</v>
      </c>
      <c r="Q73" s="8">
        <f t="shared" si="104"/>
        <v>436.97700000000003</v>
      </c>
      <c r="R73" s="8">
        <f t="shared" si="116"/>
        <v>0</v>
      </c>
      <c r="S73" s="8">
        <f t="shared" si="117"/>
        <v>0</v>
      </c>
      <c r="T73" s="627">
        <f t="shared" ref="T73:T78" si="120">Q73+R73+S73</f>
        <v>436.97700000000003</v>
      </c>
      <c r="U73" s="671" t="s">
        <v>203</v>
      </c>
      <c r="V73" s="15">
        <v>113683</v>
      </c>
      <c r="W73" s="15">
        <f>ROUND(V73*0.302,0)</f>
        <v>34332</v>
      </c>
      <c r="X73" s="15"/>
      <c r="Y73" s="15"/>
      <c r="Z73" s="15"/>
      <c r="AA73" s="15"/>
      <c r="AB73" s="15"/>
      <c r="AC73" s="15"/>
      <c r="AD73" s="15">
        <v>591</v>
      </c>
      <c r="AE73" s="15"/>
      <c r="AF73" s="15">
        <v>59</v>
      </c>
      <c r="AG73" s="15">
        <v>177</v>
      </c>
      <c r="AH73" s="15"/>
      <c r="AI73" s="15"/>
      <c r="AJ73" s="15"/>
      <c r="AK73" s="15">
        <v>355</v>
      </c>
      <c r="AL73" s="15">
        <f t="shared" si="89"/>
        <v>1182</v>
      </c>
      <c r="AM73" s="15"/>
      <c r="AN73" s="15"/>
      <c r="AO73" s="15"/>
      <c r="AP73" s="15"/>
      <c r="AQ73" s="15"/>
      <c r="AR73" s="705" t="s">
        <v>203</v>
      </c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>
        <f>ROUND(E73*2,0)</f>
        <v>686</v>
      </c>
      <c r="BG73" s="15"/>
      <c r="BH73" s="15">
        <f t="shared" si="81"/>
        <v>149883</v>
      </c>
      <c r="BI73" s="447">
        <f t="shared" si="110"/>
        <v>436.98</v>
      </c>
      <c r="BJ73" s="76">
        <f t="shared" si="68"/>
        <v>113683</v>
      </c>
      <c r="BK73" s="76">
        <f t="shared" si="69"/>
        <v>34332</v>
      </c>
      <c r="BL73" s="76">
        <f>Z73+AB73+AC73+AA73</f>
        <v>0</v>
      </c>
      <c r="BM73" s="76">
        <f>BF73</f>
        <v>686</v>
      </c>
      <c r="BN73" s="76">
        <f>BE73</f>
        <v>0</v>
      </c>
      <c r="BO73" s="76">
        <f>BG73+AL73+AM73+AN73+AO73+AP73+AQ73+AS73+AT73+AU73+AV73+AW73+AX73+AY73+AZ73+BA73+BB73+BC73+BD73</f>
        <v>1182</v>
      </c>
      <c r="BP73" s="92">
        <f>SUM(BJ73:BO73)</f>
        <v>149883</v>
      </c>
    </row>
    <row r="74" spans="1:68" ht="21" customHeight="1">
      <c r="A74" s="858"/>
      <c r="B74" s="849"/>
      <c r="C74" s="849"/>
      <c r="D74" s="157" t="s">
        <v>191</v>
      </c>
      <c r="E74" s="313">
        <v>701</v>
      </c>
      <c r="F74" s="829"/>
      <c r="G74" s="8">
        <f t="shared" si="109"/>
        <v>320.24700000000001</v>
      </c>
      <c r="H74" s="8">
        <f t="shared" si="111"/>
        <v>0</v>
      </c>
      <c r="I74" s="8">
        <f t="shared" si="103"/>
        <v>320.24700000000001</v>
      </c>
      <c r="J74" s="451">
        <f t="shared" si="46"/>
        <v>2.5190000000000001</v>
      </c>
      <c r="K74" s="8">
        <f t="shared" si="112"/>
        <v>0</v>
      </c>
      <c r="L74" s="8">
        <f t="shared" si="113"/>
        <v>0</v>
      </c>
      <c r="M74" s="8">
        <f t="shared" si="114"/>
        <v>0</v>
      </c>
      <c r="N74" s="11">
        <f t="shared" si="115"/>
        <v>0</v>
      </c>
      <c r="O74" s="11">
        <f t="shared" si="100"/>
        <v>9</v>
      </c>
      <c r="P74" s="453">
        <f t="shared" si="50"/>
        <v>1.08</v>
      </c>
      <c r="Q74" s="8">
        <f t="shared" si="104"/>
        <v>332.846</v>
      </c>
      <c r="R74" s="8">
        <f t="shared" si="116"/>
        <v>0</v>
      </c>
      <c r="S74" s="8">
        <f t="shared" si="117"/>
        <v>0</v>
      </c>
      <c r="T74" s="627">
        <f t="shared" si="120"/>
        <v>332.846</v>
      </c>
      <c r="U74" s="829"/>
      <c r="V74" s="15">
        <v>172422</v>
      </c>
      <c r="W74" s="15">
        <f>ROUND(V74*0.302,0)</f>
        <v>52071</v>
      </c>
      <c r="X74" s="15"/>
      <c r="Y74" s="15"/>
      <c r="Z74" s="15"/>
      <c r="AA74" s="15"/>
      <c r="AB74" s="15"/>
      <c r="AC74" s="15"/>
      <c r="AD74" s="15">
        <v>1262</v>
      </c>
      <c r="AE74" s="15"/>
      <c r="AF74" s="15">
        <v>126</v>
      </c>
      <c r="AG74" s="15">
        <v>378</v>
      </c>
      <c r="AH74" s="15"/>
      <c r="AI74" s="15"/>
      <c r="AJ74" s="15"/>
      <c r="AK74" s="15">
        <v>757</v>
      </c>
      <c r="AL74" s="15">
        <f t="shared" si="89"/>
        <v>2523</v>
      </c>
      <c r="AM74" s="15"/>
      <c r="AN74" s="15"/>
      <c r="AO74" s="15"/>
      <c r="AP74" s="15"/>
      <c r="AQ74" s="15"/>
      <c r="AR74" s="827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>
        <f>ROUND(E74*9,0)</f>
        <v>6309</v>
      </c>
      <c r="BG74" s="15"/>
      <c r="BH74" s="15">
        <f t="shared" si="81"/>
        <v>233325</v>
      </c>
      <c r="BI74" s="447">
        <f t="shared" si="110"/>
        <v>332.85</v>
      </c>
      <c r="BJ74" s="76">
        <f t="shared" si="68"/>
        <v>172422</v>
      </c>
      <c r="BK74" s="76">
        <f t="shared" si="69"/>
        <v>52071</v>
      </c>
      <c r="BL74" s="76">
        <f>Z74+AB74+AC74+AA74</f>
        <v>0</v>
      </c>
      <c r="BM74" s="76">
        <f>BF74</f>
        <v>6309</v>
      </c>
      <c r="BN74" s="76">
        <f>BE74</f>
        <v>0</v>
      </c>
      <c r="BO74" s="76">
        <f>BG74+AL74+AM74+AN74+AO74+AP74+AQ74+AS74+AT74+AU74+AV74+AW74+AX74+AY74+AZ74+BA74+BB74+BC74+BD74</f>
        <v>2523</v>
      </c>
      <c r="BP74" s="92">
        <f>SUM(BJ74:BO74)</f>
        <v>233325</v>
      </c>
    </row>
    <row r="75" spans="1:68" ht="21" customHeight="1">
      <c r="A75" s="858"/>
      <c r="B75" s="849"/>
      <c r="C75" s="849"/>
      <c r="D75" s="157" t="s">
        <v>192</v>
      </c>
      <c r="E75" s="313">
        <v>304</v>
      </c>
      <c r="F75" s="829"/>
      <c r="G75" s="8">
        <f t="shared" si="109"/>
        <v>320.25</v>
      </c>
      <c r="H75" s="8">
        <f t="shared" si="111"/>
        <v>0</v>
      </c>
      <c r="I75" s="8">
        <f t="shared" si="103"/>
        <v>320.25</v>
      </c>
      <c r="J75" s="451">
        <f t="shared" si="46"/>
        <v>4.7069999999999999</v>
      </c>
      <c r="K75" s="8">
        <f t="shared" si="112"/>
        <v>0</v>
      </c>
      <c r="L75" s="8">
        <f t="shared" si="113"/>
        <v>0</v>
      </c>
      <c r="M75" s="8">
        <f t="shared" si="114"/>
        <v>0</v>
      </c>
      <c r="N75" s="11">
        <f t="shared" si="115"/>
        <v>0</v>
      </c>
      <c r="O75" s="11">
        <f t="shared" si="100"/>
        <v>20</v>
      </c>
      <c r="P75" s="453">
        <f t="shared" si="50"/>
        <v>2.016</v>
      </c>
      <c r="Q75" s="8">
        <f t="shared" si="104"/>
        <v>346.97300000000001</v>
      </c>
      <c r="R75" s="8">
        <f t="shared" si="116"/>
        <v>0</v>
      </c>
      <c r="S75" s="8">
        <f t="shared" si="117"/>
        <v>0</v>
      </c>
      <c r="T75" s="627">
        <f t="shared" si="120"/>
        <v>346.97300000000001</v>
      </c>
      <c r="U75" s="829"/>
      <c r="V75" s="15">
        <v>74774.070000000007</v>
      </c>
      <c r="W75" s="15">
        <f>ROUND(V75*0.302,0)</f>
        <v>22582</v>
      </c>
      <c r="X75" s="15"/>
      <c r="Y75" s="15"/>
      <c r="Z75" s="15"/>
      <c r="AA75" s="15"/>
      <c r="AB75" s="15"/>
      <c r="AC75" s="15"/>
      <c r="AD75" s="15">
        <v>1022</v>
      </c>
      <c r="AE75" s="15"/>
      <c r="AF75" s="15">
        <v>102</v>
      </c>
      <c r="AG75" s="15">
        <v>307</v>
      </c>
      <c r="AH75" s="15"/>
      <c r="AI75" s="15"/>
      <c r="AJ75" s="15"/>
      <c r="AK75" s="15">
        <v>613</v>
      </c>
      <c r="AL75" s="15">
        <f t="shared" si="89"/>
        <v>2044</v>
      </c>
      <c r="AM75" s="15"/>
      <c r="AN75" s="15"/>
      <c r="AO75" s="15"/>
      <c r="AP75" s="15"/>
      <c r="AQ75" s="15"/>
      <c r="AR75" s="827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>
        <f>ROUND(E75*20,0)</f>
        <v>6080</v>
      </c>
      <c r="BG75" s="15"/>
      <c r="BH75" s="15">
        <f t="shared" si="81"/>
        <v>105480.07</v>
      </c>
      <c r="BI75" s="447">
        <f t="shared" si="110"/>
        <v>346.97</v>
      </c>
      <c r="BJ75" s="76">
        <f t="shared" si="68"/>
        <v>74774.070000000007</v>
      </c>
      <c r="BK75" s="76">
        <f t="shared" si="69"/>
        <v>22582</v>
      </c>
      <c r="BL75" s="76">
        <f>Z75+AB75+AC75+AA75</f>
        <v>0</v>
      </c>
      <c r="BM75" s="76">
        <f>BF75</f>
        <v>6080</v>
      </c>
      <c r="BN75" s="76">
        <f>BE75</f>
        <v>0</v>
      </c>
      <c r="BO75" s="76">
        <f>BG75+AL75+AM75+AN75+AO75+AP75+AQ75+AS75+AT75+AU75+AV75+AW75+AX75+AY75+AZ75+BA75+BB75+BC75+BD75</f>
        <v>2044</v>
      </c>
      <c r="BP75" s="92">
        <f>SUM(BJ75:BO75)</f>
        <v>105480.07</v>
      </c>
    </row>
    <row r="76" spans="1:68" ht="15" hidden="1" customHeight="1" outlineLevel="1">
      <c r="A76" s="858"/>
      <c r="B76" s="850"/>
      <c r="C76" s="850"/>
      <c r="D76" s="157" t="s">
        <v>193</v>
      </c>
      <c r="E76" s="313">
        <v>0</v>
      </c>
      <c r="F76" s="829"/>
      <c r="G76" s="8" t="e">
        <f t="shared" si="109"/>
        <v>#DIV/0!</v>
      </c>
      <c r="H76" s="8" t="e">
        <f t="shared" si="111"/>
        <v>#DIV/0!</v>
      </c>
      <c r="I76" s="8" t="e">
        <f t="shared" si="103"/>
        <v>#DIV/0!</v>
      </c>
      <c r="J76" s="451" t="e">
        <f t="shared" si="46"/>
        <v>#DIV/0!</v>
      </c>
      <c r="K76" s="8" t="e">
        <f t="shared" si="112"/>
        <v>#DIV/0!</v>
      </c>
      <c r="L76" s="8" t="e">
        <f t="shared" si="113"/>
        <v>#DIV/0!</v>
      </c>
      <c r="M76" s="8" t="e">
        <f t="shared" si="114"/>
        <v>#DIV/0!</v>
      </c>
      <c r="N76" s="11" t="e">
        <f t="shared" si="115"/>
        <v>#DIV/0!</v>
      </c>
      <c r="O76" s="11" t="e">
        <f t="shared" si="100"/>
        <v>#DIV/0!</v>
      </c>
      <c r="P76" s="453" t="e">
        <f t="shared" si="50"/>
        <v>#DIV/0!</v>
      </c>
      <c r="Q76" s="8" t="e">
        <f t="shared" si="104"/>
        <v>#DIV/0!</v>
      </c>
      <c r="R76" s="8" t="e">
        <f t="shared" si="116"/>
        <v>#DIV/0!</v>
      </c>
      <c r="S76" s="8" t="e">
        <f t="shared" si="117"/>
        <v>#DIV/0!</v>
      </c>
      <c r="T76" s="627" t="e">
        <f t="shared" si="120"/>
        <v>#DIV/0!</v>
      </c>
      <c r="U76" s="829"/>
      <c r="V76" s="15">
        <v>0</v>
      </c>
      <c r="W76" s="15">
        <f>ROUND(V76*0.302,0)</f>
        <v>0</v>
      </c>
      <c r="X76" s="15"/>
      <c r="Y76" s="15"/>
      <c r="Z76" s="15"/>
      <c r="AA76" s="15"/>
      <c r="AB76" s="15"/>
      <c r="AC76" s="15"/>
      <c r="AD76" s="15">
        <v>0</v>
      </c>
      <c r="AE76" s="15"/>
      <c r="AF76" s="15">
        <v>0</v>
      </c>
      <c r="AG76" s="15">
        <v>0</v>
      </c>
      <c r="AH76" s="15"/>
      <c r="AI76" s="15"/>
      <c r="AJ76" s="15"/>
      <c r="AK76" s="15">
        <v>0</v>
      </c>
      <c r="AL76" s="15">
        <f t="shared" si="89"/>
        <v>0</v>
      </c>
      <c r="AM76" s="15"/>
      <c r="AN76" s="15"/>
      <c r="AO76" s="15"/>
      <c r="AP76" s="15"/>
      <c r="AQ76" s="15"/>
      <c r="AR76" s="827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>
        <f>ROUND(E76*20,0)</f>
        <v>0</v>
      </c>
      <c r="BG76" s="15"/>
      <c r="BH76" s="15">
        <f t="shared" si="81"/>
        <v>0</v>
      </c>
      <c r="BI76" s="447" t="e">
        <f t="shared" si="110"/>
        <v>#DIV/0!</v>
      </c>
      <c r="BJ76" s="76">
        <f t="shared" si="68"/>
        <v>0</v>
      </c>
      <c r="BK76" s="76">
        <f t="shared" si="69"/>
        <v>0</v>
      </c>
      <c r="BL76" s="76">
        <f>Z76+AB76+AC76+AA76</f>
        <v>0</v>
      </c>
      <c r="BM76" s="76">
        <f>BF76</f>
        <v>0</v>
      </c>
      <c r="BN76" s="76">
        <f>BE76</f>
        <v>0</v>
      </c>
      <c r="BO76" s="76">
        <f>BG76+AL76+AM76+AN76+AO76+AP76+AQ76+AS76+AT76+AU76+AV76+AW76+AX76+AY76+AZ76+BA76+BB76+BC76+BD76</f>
        <v>0</v>
      </c>
      <c r="BP76" s="92">
        <f>SUM(BJ76:BO76)</f>
        <v>0</v>
      </c>
    </row>
    <row r="77" spans="1:68" ht="60" collapsed="1">
      <c r="A77" s="859"/>
      <c r="B77" s="9" t="s">
        <v>198</v>
      </c>
      <c r="C77" s="9" t="s">
        <v>196</v>
      </c>
      <c r="D77" s="157"/>
      <c r="E77" s="313">
        <v>5849</v>
      </c>
      <c r="F77" s="830"/>
      <c r="G77" s="8">
        <f t="shared" si="109"/>
        <v>215.898</v>
      </c>
      <c r="H77" s="8">
        <f t="shared" si="111"/>
        <v>0</v>
      </c>
      <c r="I77" s="8">
        <f t="shared" si="103"/>
        <v>215.898</v>
      </c>
      <c r="J77" s="451">
        <f t="shared" si="46"/>
        <v>0.88500000000000001</v>
      </c>
      <c r="K77" s="8">
        <f t="shared" si="112"/>
        <v>0</v>
      </c>
      <c r="L77" s="8">
        <f t="shared" si="113"/>
        <v>0</v>
      </c>
      <c r="M77" s="8">
        <f t="shared" si="114"/>
        <v>0</v>
      </c>
      <c r="N77" s="11">
        <f t="shared" si="115"/>
        <v>0</v>
      </c>
      <c r="O77" s="11">
        <f t="shared" si="100"/>
        <v>6.62</v>
      </c>
      <c r="P77" s="453">
        <f t="shared" si="50"/>
        <v>0.38800000000000001</v>
      </c>
      <c r="Q77" s="8">
        <f t="shared" si="104"/>
        <v>223.791</v>
      </c>
      <c r="R77" s="8">
        <f t="shared" si="116"/>
        <v>0</v>
      </c>
      <c r="S77" s="8">
        <f t="shared" si="117"/>
        <v>0</v>
      </c>
      <c r="T77" s="627">
        <f t="shared" si="120"/>
        <v>223.791</v>
      </c>
      <c r="U77" s="830"/>
      <c r="V77" s="15">
        <v>969865.2</v>
      </c>
      <c r="W77" s="15">
        <f>401909-108985</f>
        <v>292924</v>
      </c>
      <c r="X77" s="15"/>
      <c r="Y77" s="15"/>
      <c r="Z77" s="15"/>
      <c r="AA77" s="15"/>
      <c r="AB77" s="15"/>
      <c r="AC77" s="15"/>
      <c r="AD77" s="15">
        <v>3785</v>
      </c>
      <c r="AE77" s="15"/>
      <c r="AF77" s="15">
        <v>378</v>
      </c>
      <c r="AG77" s="15">
        <f>1135-119</f>
        <v>1016</v>
      </c>
      <c r="AH77" s="15"/>
      <c r="AI77" s="15"/>
      <c r="AJ77" s="15"/>
      <c r="AK77" s="15">
        <v>2270</v>
      </c>
      <c r="AL77" s="15">
        <f t="shared" si="89"/>
        <v>7449</v>
      </c>
      <c r="AM77" s="15"/>
      <c r="AN77" s="15"/>
      <c r="AO77" s="15"/>
      <c r="AP77" s="15"/>
      <c r="AQ77" s="15"/>
      <c r="AR77" s="828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>
        <f>BF78-BF73-BF74-BF75-BF76</f>
        <v>38737.75</v>
      </c>
      <c r="BG77" s="15"/>
      <c r="BH77" s="15">
        <f t="shared" si="81"/>
        <v>1308975.95</v>
      </c>
      <c r="BI77" s="447">
        <f t="shared" si="110"/>
        <v>223.79</v>
      </c>
      <c r="BJ77" s="76">
        <f t="shared" si="68"/>
        <v>969865.2</v>
      </c>
      <c r="BK77" s="76">
        <f t="shared" si="69"/>
        <v>292924</v>
      </c>
      <c r="BL77" s="76">
        <f>Z77+AB77+AC77+AA77</f>
        <v>0</v>
      </c>
      <c r="BM77" s="76">
        <f>BF77</f>
        <v>38737.75</v>
      </c>
      <c r="BN77" s="76">
        <f>BE77</f>
        <v>0</v>
      </c>
      <c r="BO77" s="76">
        <f>BG77+AL77+AM77+AN77+AO77+AP77+AQ77+AS77+AT77+AU77+AV77+AW77+AX77+AY77+AZ77+BA77+BB77+BC77+BD77</f>
        <v>7449</v>
      </c>
      <c r="BP77" s="92">
        <f>SUM(BJ77:BO77)</f>
        <v>1308975.95</v>
      </c>
    </row>
    <row r="78" spans="1:68" ht="27.75" customHeight="1">
      <c r="A78" s="109" t="s">
        <v>251</v>
      </c>
      <c r="B78" s="29"/>
      <c r="C78" s="29" t="s">
        <v>252</v>
      </c>
      <c r="D78" s="158"/>
      <c r="E78" s="32">
        <v>8545</v>
      </c>
      <c r="F78" s="159"/>
      <c r="G78" s="30">
        <f t="shared" si="109"/>
        <v>202.768</v>
      </c>
      <c r="H78" s="30">
        <f t="shared" si="111"/>
        <v>0</v>
      </c>
      <c r="I78" s="30">
        <f t="shared" si="103"/>
        <v>202.768</v>
      </c>
      <c r="J78" s="30">
        <f>ROUND((AL78-AK78)/E78,3)</f>
        <v>1.077</v>
      </c>
      <c r="K78" s="30">
        <f t="shared" si="112"/>
        <v>0</v>
      </c>
      <c r="L78" s="30">
        <f t="shared" si="113"/>
        <v>0</v>
      </c>
      <c r="M78" s="30">
        <f t="shared" si="114"/>
        <v>0</v>
      </c>
      <c r="N78" s="33">
        <f t="shared" si="115"/>
        <v>0</v>
      </c>
      <c r="O78" s="33">
        <f t="shared" si="100"/>
        <v>6.06</v>
      </c>
      <c r="P78" s="33">
        <f>ROUND(AK78/E78,3)</f>
        <v>0.46800000000000003</v>
      </c>
      <c r="Q78" s="30">
        <f t="shared" si="104"/>
        <v>210.37299999999999</v>
      </c>
      <c r="R78" s="30">
        <f t="shared" si="116"/>
        <v>0</v>
      </c>
      <c r="S78" s="30">
        <f t="shared" si="117"/>
        <v>0</v>
      </c>
      <c r="T78" s="627">
        <f t="shared" si="120"/>
        <v>210.37299999999999</v>
      </c>
      <c r="U78" s="159"/>
      <c r="V78" s="24">
        <f>SUM(V73:V77)</f>
        <v>1330744.27</v>
      </c>
      <c r="W78" s="24">
        <f>SUM(W73:W77)</f>
        <v>401909</v>
      </c>
      <c r="X78" s="24">
        <f>SUM(X73:X77)</f>
        <v>0</v>
      </c>
      <c r="Y78" s="24">
        <f>SUM(Y73:Y77)</f>
        <v>0</v>
      </c>
      <c r="Z78" s="24">
        <f t="shared" ref="Z78:BE78" si="121">Z73+Z74+Z75+Z76+Z77</f>
        <v>0</v>
      </c>
      <c r="AA78" s="24">
        <f t="shared" si="121"/>
        <v>0</v>
      </c>
      <c r="AB78" s="24">
        <f t="shared" si="121"/>
        <v>0</v>
      </c>
      <c r="AC78" s="24">
        <f t="shared" si="121"/>
        <v>0</v>
      </c>
      <c r="AD78" s="24">
        <f t="shared" si="121"/>
        <v>6660</v>
      </c>
      <c r="AE78" s="24">
        <f t="shared" si="121"/>
        <v>0</v>
      </c>
      <c r="AF78" s="24">
        <f t="shared" si="121"/>
        <v>665</v>
      </c>
      <c r="AG78" s="24">
        <f t="shared" si="121"/>
        <v>1878</v>
      </c>
      <c r="AH78" s="24">
        <f t="shared" si="121"/>
        <v>0</v>
      </c>
      <c r="AI78" s="24">
        <f t="shared" si="121"/>
        <v>0</v>
      </c>
      <c r="AJ78" s="24">
        <f t="shared" si="121"/>
        <v>0</v>
      </c>
      <c r="AK78" s="24">
        <f t="shared" si="121"/>
        <v>3995</v>
      </c>
      <c r="AL78" s="24">
        <f t="shared" si="121"/>
        <v>13198</v>
      </c>
      <c r="AM78" s="24">
        <f t="shared" si="121"/>
        <v>0</v>
      </c>
      <c r="AN78" s="24">
        <f t="shared" si="121"/>
        <v>0</v>
      </c>
      <c r="AO78" s="24">
        <f t="shared" si="121"/>
        <v>0</v>
      </c>
      <c r="AP78" s="24">
        <f t="shared" si="121"/>
        <v>0</v>
      </c>
      <c r="AQ78" s="24">
        <f t="shared" si="121"/>
        <v>0</v>
      </c>
      <c r="AR78" s="24"/>
      <c r="AS78" s="24">
        <f t="shared" si="121"/>
        <v>0</v>
      </c>
      <c r="AT78" s="24">
        <f t="shared" si="121"/>
        <v>0</v>
      </c>
      <c r="AU78" s="24">
        <f t="shared" si="121"/>
        <v>0</v>
      </c>
      <c r="AV78" s="24">
        <f t="shared" si="121"/>
        <v>0</v>
      </c>
      <c r="AW78" s="24">
        <f t="shared" si="121"/>
        <v>0</v>
      </c>
      <c r="AX78" s="24">
        <f t="shared" si="121"/>
        <v>0</v>
      </c>
      <c r="AY78" s="24">
        <f t="shared" si="121"/>
        <v>0</v>
      </c>
      <c r="AZ78" s="24">
        <f t="shared" si="121"/>
        <v>0</v>
      </c>
      <c r="BA78" s="24">
        <f t="shared" si="121"/>
        <v>0</v>
      </c>
      <c r="BB78" s="24">
        <f t="shared" si="121"/>
        <v>0</v>
      </c>
      <c r="BC78" s="24">
        <f t="shared" si="121"/>
        <v>0</v>
      </c>
      <c r="BD78" s="24">
        <f t="shared" si="121"/>
        <v>0</v>
      </c>
      <c r="BE78" s="24">
        <f t="shared" si="121"/>
        <v>0</v>
      </c>
      <c r="BF78" s="24">
        <v>51812.75</v>
      </c>
      <c r="BG78" s="24">
        <f>BG73+BG74+BG75+BG76+BG77</f>
        <v>0</v>
      </c>
      <c r="BH78" s="24">
        <f t="shared" si="81"/>
        <v>1797664.02</v>
      </c>
      <c r="BI78" s="447">
        <f>ROUND(BH78/E78,3)</f>
        <v>210.376</v>
      </c>
      <c r="BJ78" s="24">
        <f t="shared" ref="BJ78:BP78" si="122">BJ73+BJ74+BJ75+BJ76+BJ77</f>
        <v>1330744.27</v>
      </c>
      <c r="BK78" s="24">
        <f t="shared" si="122"/>
        <v>401909</v>
      </c>
      <c r="BL78" s="24">
        <f t="shared" si="122"/>
        <v>0</v>
      </c>
      <c r="BM78" s="24">
        <f t="shared" si="122"/>
        <v>51812.75</v>
      </c>
      <c r="BN78" s="24">
        <f t="shared" si="122"/>
        <v>0</v>
      </c>
      <c r="BO78" s="24">
        <f t="shared" si="122"/>
        <v>13198</v>
      </c>
      <c r="BP78" s="24">
        <f t="shared" si="122"/>
        <v>1797664.02</v>
      </c>
    </row>
    <row r="79" spans="1:68" ht="21" customHeight="1">
      <c r="A79" s="857" t="s">
        <v>194</v>
      </c>
      <c r="B79" s="648" t="s">
        <v>197</v>
      </c>
      <c r="C79" s="648" t="s">
        <v>189</v>
      </c>
      <c r="D79" s="157" t="s">
        <v>190</v>
      </c>
      <c r="E79" s="10">
        <v>514</v>
      </c>
      <c r="F79" s="671" t="s">
        <v>204</v>
      </c>
      <c r="G79" s="8">
        <f t="shared" si="109"/>
        <v>223.49</v>
      </c>
      <c r="H79" s="8">
        <f t="shared" si="111"/>
        <v>40.22</v>
      </c>
      <c r="I79" s="8">
        <f t="shared" si="103"/>
        <v>263.71000000000004</v>
      </c>
      <c r="J79" s="451">
        <f t="shared" si="46"/>
        <v>3.2160000000000002</v>
      </c>
      <c r="K79" s="8">
        <f t="shared" si="112"/>
        <v>0</v>
      </c>
      <c r="L79" s="8">
        <f t="shared" si="113"/>
        <v>0</v>
      </c>
      <c r="M79" s="8">
        <f t="shared" si="114"/>
        <v>0</v>
      </c>
      <c r="N79" s="11">
        <f t="shared" si="115"/>
        <v>0</v>
      </c>
      <c r="O79" s="11">
        <f t="shared" si="100"/>
        <v>2</v>
      </c>
      <c r="P79" s="453">
        <f t="shared" si="50"/>
        <v>1.377</v>
      </c>
      <c r="Q79" s="8">
        <f t="shared" si="104"/>
        <v>270.30300000000005</v>
      </c>
      <c r="R79" s="8">
        <f t="shared" si="116"/>
        <v>0</v>
      </c>
      <c r="S79" s="8">
        <f t="shared" si="117"/>
        <v>0</v>
      </c>
      <c r="T79" s="627">
        <f t="shared" ref="T79:T90" si="123">Q79+R79+S79</f>
        <v>270.30300000000005</v>
      </c>
      <c r="U79" s="671" t="s">
        <v>204</v>
      </c>
      <c r="V79" s="15">
        <v>88229</v>
      </c>
      <c r="W79" s="15">
        <f>ROUND(V79*0.302,0)</f>
        <v>26645</v>
      </c>
      <c r="X79" s="15">
        <v>15876</v>
      </c>
      <c r="Y79" s="15">
        <f>ROUND(X79*0.302,0)</f>
        <v>4795</v>
      </c>
      <c r="Z79" s="15"/>
      <c r="AA79" s="15"/>
      <c r="AB79" s="15"/>
      <c r="AC79" s="15"/>
      <c r="AD79" s="15">
        <v>1181</v>
      </c>
      <c r="AE79" s="15"/>
      <c r="AF79" s="15">
        <v>118</v>
      </c>
      <c r="AG79" s="15">
        <v>354</v>
      </c>
      <c r="AH79" s="15"/>
      <c r="AI79" s="15"/>
      <c r="AJ79" s="15"/>
      <c r="AK79" s="15">
        <v>708</v>
      </c>
      <c r="AL79" s="15">
        <f>SUM(AD79:AK79)</f>
        <v>2361</v>
      </c>
      <c r="AM79" s="15"/>
      <c r="AN79" s="15"/>
      <c r="AO79" s="15"/>
      <c r="AP79" s="15"/>
      <c r="AQ79" s="15"/>
      <c r="AR79" s="705" t="s">
        <v>204</v>
      </c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>
        <f>ROUND(E79*2,0)</f>
        <v>1028</v>
      </c>
      <c r="BG79" s="15"/>
      <c r="BH79" s="15">
        <f t="shared" ref="BH79:BH110" si="124">V79+W79+X79+Y79+Z79+AB79+AC79+AL79+AM79+AN79+AO79+AP79+AS79+AT79+AU79+AV79+AW79+AX79+AY79+AZ79+BA79+BB79+BC79+BD79+BE79+BF79+BG79+AQ79+AA79</f>
        <v>138934</v>
      </c>
      <c r="BI79" s="447">
        <f t="shared" si="110"/>
        <v>270.3</v>
      </c>
      <c r="BJ79" s="76">
        <f t="shared" si="68"/>
        <v>104105</v>
      </c>
      <c r="BK79" s="76">
        <f t="shared" si="69"/>
        <v>31440</v>
      </c>
      <c r="BL79" s="76">
        <f>Z79+AB79+AC79+AA79</f>
        <v>0</v>
      </c>
      <c r="BM79" s="76">
        <f>BF79</f>
        <v>1028</v>
      </c>
      <c r="BN79" s="76">
        <f>BE79</f>
        <v>0</v>
      </c>
      <c r="BO79" s="76">
        <f>BG79+AL79+AM79+AN79+AO79+AP79+AQ79+AS79+AT79+AU79+AV79+AW79+AX79+AY79+AZ79+BA79+BB79+BC79+BD79</f>
        <v>2361</v>
      </c>
      <c r="BP79" s="92">
        <f>SUM(BJ79:BO79)</f>
        <v>138934</v>
      </c>
    </row>
    <row r="80" spans="1:68" ht="21" customHeight="1">
      <c r="A80" s="858"/>
      <c r="B80" s="849"/>
      <c r="C80" s="849"/>
      <c r="D80" s="157" t="s">
        <v>191</v>
      </c>
      <c r="E80" s="10">
        <v>549</v>
      </c>
      <c r="F80" s="829"/>
      <c r="G80" s="8">
        <f t="shared" si="109"/>
        <v>220.512</v>
      </c>
      <c r="H80" s="8">
        <f>ROUND((X80+Y80)/E80,3)</f>
        <v>37.652000000000001</v>
      </c>
      <c r="I80" s="8">
        <f t="shared" si="103"/>
        <v>258.16399999999999</v>
      </c>
      <c r="J80" s="451">
        <f t="shared" si="46"/>
        <v>3.2170000000000001</v>
      </c>
      <c r="K80" s="8">
        <f t="shared" si="112"/>
        <v>0</v>
      </c>
      <c r="L80" s="8">
        <f t="shared" si="113"/>
        <v>0</v>
      </c>
      <c r="M80" s="8">
        <f t="shared" si="114"/>
        <v>0</v>
      </c>
      <c r="N80" s="11">
        <f t="shared" si="115"/>
        <v>0</v>
      </c>
      <c r="O80" s="11">
        <f t="shared" si="100"/>
        <v>9</v>
      </c>
      <c r="P80" s="453">
        <f t="shared" si="50"/>
        <v>1.379</v>
      </c>
      <c r="Q80" s="8">
        <f t="shared" si="104"/>
        <v>271.76</v>
      </c>
      <c r="R80" s="8">
        <f t="shared" si="116"/>
        <v>0</v>
      </c>
      <c r="S80" s="8">
        <f t="shared" si="117"/>
        <v>0</v>
      </c>
      <c r="T80" s="627">
        <f t="shared" si="123"/>
        <v>271.76</v>
      </c>
      <c r="U80" s="829"/>
      <c r="V80" s="15">
        <f>94237-1256</f>
        <v>92981</v>
      </c>
      <c r="W80" s="15">
        <f t="shared" ref="W80:W88" si="125">ROUND(V80*0.302,0)</f>
        <v>28080</v>
      </c>
      <c r="X80" s="15">
        <v>15876</v>
      </c>
      <c r="Y80" s="15">
        <f>ROUND(X80*0.302,0)</f>
        <v>4795</v>
      </c>
      <c r="Z80" s="15"/>
      <c r="AA80" s="15"/>
      <c r="AB80" s="15"/>
      <c r="AC80" s="15"/>
      <c r="AD80" s="15">
        <v>1262</v>
      </c>
      <c r="AE80" s="15"/>
      <c r="AF80" s="15">
        <v>126</v>
      </c>
      <c r="AG80" s="15">
        <v>378</v>
      </c>
      <c r="AH80" s="15"/>
      <c r="AI80" s="15"/>
      <c r="AJ80" s="15"/>
      <c r="AK80" s="15">
        <v>757</v>
      </c>
      <c r="AL80" s="15">
        <f>SUM(AD80:AK80)</f>
        <v>2523</v>
      </c>
      <c r="AM80" s="15"/>
      <c r="AN80" s="15"/>
      <c r="AO80" s="15"/>
      <c r="AP80" s="15"/>
      <c r="AQ80" s="15"/>
      <c r="AR80" s="827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>
        <f>ROUND(E80*9,0)</f>
        <v>4941</v>
      </c>
      <c r="BG80" s="15"/>
      <c r="BH80" s="15">
        <f t="shared" si="124"/>
        <v>149196</v>
      </c>
      <c r="BI80" s="447">
        <f>ROUND(BH80/E80,3)</f>
        <v>271.76</v>
      </c>
      <c r="BJ80" s="76">
        <f t="shared" si="68"/>
        <v>108857</v>
      </c>
      <c r="BK80" s="76">
        <f t="shared" si="69"/>
        <v>32875</v>
      </c>
      <c r="BL80" s="76">
        <f>Z80+AB80+AC80+AA80</f>
        <v>0</v>
      </c>
      <c r="BM80" s="76">
        <f>BF80</f>
        <v>4941</v>
      </c>
      <c r="BN80" s="76">
        <f>BE80</f>
        <v>0</v>
      </c>
      <c r="BO80" s="76">
        <f>BG80+AL80+AM80+AN80+AO80+AP80+AQ80+AS80+AT80+AU80+AV80+AW80+AX80+AY80+AZ80+BA80+BB80+BC80+BD80</f>
        <v>2523</v>
      </c>
      <c r="BP80" s="92">
        <f>SUM(BJ80:BO80)</f>
        <v>149196</v>
      </c>
    </row>
    <row r="81" spans="1:68" ht="21" customHeight="1">
      <c r="A81" s="858"/>
      <c r="B81" s="849"/>
      <c r="C81" s="849"/>
      <c r="D81" s="157" t="s">
        <v>192</v>
      </c>
      <c r="E81" s="10">
        <v>445</v>
      </c>
      <c r="F81" s="829"/>
      <c r="G81" s="8">
        <f t="shared" si="109"/>
        <v>223.49</v>
      </c>
      <c r="H81" s="8">
        <f>ROUND((X81+Y81)/E81,2)</f>
        <v>46.45</v>
      </c>
      <c r="I81" s="8">
        <f t="shared" si="103"/>
        <v>269.94</v>
      </c>
      <c r="J81" s="451">
        <f t="shared" si="46"/>
        <v>3.2160000000000002</v>
      </c>
      <c r="K81" s="8">
        <f t="shared" si="112"/>
        <v>0</v>
      </c>
      <c r="L81" s="8">
        <f t="shared" si="113"/>
        <v>0</v>
      </c>
      <c r="M81" s="8">
        <f t="shared" si="114"/>
        <v>0</v>
      </c>
      <c r="N81" s="11">
        <f t="shared" si="115"/>
        <v>0</v>
      </c>
      <c r="O81" s="11">
        <f t="shared" si="100"/>
        <v>20</v>
      </c>
      <c r="P81" s="453">
        <f t="shared" si="50"/>
        <v>1.3779999999999999</v>
      </c>
      <c r="Q81" s="8">
        <f t="shared" si="104"/>
        <v>294.53399999999999</v>
      </c>
      <c r="R81" s="8">
        <f t="shared" si="116"/>
        <v>0</v>
      </c>
      <c r="S81" s="8">
        <f t="shared" si="117"/>
        <v>0</v>
      </c>
      <c r="T81" s="627">
        <f t="shared" si="123"/>
        <v>294.53399999999999</v>
      </c>
      <c r="U81" s="829"/>
      <c r="V81" s="15">
        <v>76385</v>
      </c>
      <c r="W81" s="15">
        <f t="shared" si="125"/>
        <v>23068</v>
      </c>
      <c r="X81" s="15">
        <v>15876</v>
      </c>
      <c r="Y81" s="15">
        <f>ROUND(X81*0.302,0)</f>
        <v>4795</v>
      </c>
      <c r="Z81" s="15"/>
      <c r="AA81" s="15"/>
      <c r="AB81" s="15"/>
      <c r="AC81" s="15"/>
      <c r="AD81" s="15">
        <v>1022</v>
      </c>
      <c r="AE81" s="15"/>
      <c r="AF81" s="15">
        <v>102</v>
      </c>
      <c r="AG81" s="15">
        <v>307</v>
      </c>
      <c r="AH81" s="15"/>
      <c r="AI81" s="15"/>
      <c r="AJ81" s="15"/>
      <c r="AK81" s="15">
        <v>613</v>
      </c>
      <c r="AL81" s="15">
        <f>SUM(AD81:AK81)</f>
        <v>2044</v>
      </c>
      <c r="AM81" s="15"/>
      <c r="AN81" s="15"/>
      <c r="AO81" s="15"/>
      <c r="AP81" s="15"/>
      <c r="AQ81" s="15"/>
      <c r="AR81" s="827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>
        <f>ROUND(E81*20,0)</f>
        <v>8900</v>
      </c>
      <c r="BG81" s="15"/>
      <c r="BH81" s="15">
        <f t="shared" si="124"/>
        <v>131068</v>
      </c>
      <c r="BI81" s="447">
        <f>ROUND(BH81/E81,2)</f>
        <v>294.52999999999997</v>
      </c>
      <c r="BJ81" s="76">
        <f t="shared" si="68"/>
        <v>92261</v>
      </c>
      <c r="BK81" s="76">
        <f t="shared" si="69"/>
        <v>27863</v>
      </c>
      <c r="BL81" s="76">
        <f>Z81+AB81+AC81+AA81</f>
        <v>0</v>
      </c>
      <c r="BM81" s="76">
        <f>BF81</f>
        <v>8900</v>
      </c>
      <c r="BN81" s="76">
        <f>BE81</f>
        <v>0</v>
      </c>
      <c r="BO81" s="76">
        <f>BG81+AL81+AM81+AN81+AO81+AP81+AQ81+AS81+AT81+AU81+AV81+AW81+AX81+AY81+AZ81+BA81+BB81+BC81+BD81</f>
        <v>2044</v>
      </c>
      <c r="BP81" s="92">
        <f>SUM(BJ81:BO81)</f>
        <v>131068</v>
      </c>
    </row>
    <row r="82" spans="1:68" ht="21" customHeight="1">
      <c r="A82" s="858"/>
      <c r="B82" s="850"/>
      <c r="C82" s="850"/>
      <c r="D82" s="157" t="s">
        <v>193</v>
      </c>
      <c r="E82" s="10">
        <v>209</v>
      </c>
      <c r="F82" s="829"/>
      <c r="G82" s="8">
        <f t="shared" si="109"/>
        <v>223.488</v>
      </c>
      <c r="H82" s="8">
        <f>ROUND((X82+Y82)/E82,2)</f>
        <v>52.42</v>
      </c>
      <c r="I82" s="8">
        <f t="shared" si="103"/>
        <v>275.90800000000002</v>
      </c>
      <c r="J82" s="451">
        <f t="shared" si="46"/>
        <v>3.22</v>
      </c>
      <c r="K82" s="8">
        <f t="shared" si="112"/>
        <v>0</v>
      </c>
      <c r="L82" s="8">
        <f t="shared" si="113"/>
        <v>0</v>
      </c>
      <c r="M82" s="8">
        <f t="shared" si="114"/>
        <v>0</v>
      </c>
      <c r="N82" s="11">
        <f t="shared" si="115"/>
        <v>0</v>
      </c>
      <c r="O82" s="11">
        <f t="shared" si="100"/>
        <v>20</v>
      </c>
      <c r="P82" s="453">
        <f t="shared" si="50"/>
        <v>1.383</v>
      </c>
      <c r="Q82" s="8">
        <f t="shared" si="104"/>
        <v>300.51100000000002</v>
      </c>
      <c r="R82" s="8">
        <f t="shared" si="116"/>
        <v>0</v>
      </c>
      <c r="S82" s="8">
        <f t="shared" si="117"/>
        <v>0</v>
      </c>
      <c r="T82" s="627">
        <f t="shared" si="123"/>
        <v>300.51100000000002</v>
      </c>
      <c r="U82" s="829"/>
      <c r="V82" s="15">
        <v>35875</v>
      </c>
      <c r="W82" s="15">
        <f t="shared" si="125"/>
        <v>10834</v>
      </c>
      <c r="X82" s="15">
        <v>8414</v>
      </c>
      <c r="Y82" s="15">
        <f>ROUND(X82*0.302,0)</f>
        <v>2541</v>
      </c>
      <c r="Z82" s="15"/>
      <c r="AA82" s="15"/>
      <c r="AB82" s="15"/>
      <c r="AC82" s="15"/>
      <c r="AD82" s="15">
        <v>481</v>
      </c>
      <c r="AE82" s="15"/>
      <c r="AF82" s="15">
        <v>48</v>
      </c>
      <c r="AG82" s="15">
        <v>144</v>
      </c>
      <c r="AH82" s="15"/>
      <c r="AI82" s="15"/>
      <c r="AJ82" s="15"/>
      <c r="AK82" s="15">
        <v>289</v>
      </c>
      <c r="AL82" s="15">
        <f>SUM(AD82:AK82)</f>
        <v>962</v>
      </c>
      <c r="AM82" s="15"/>
      <c r="AN82" s="15"/>
      <c r="AO82" s="15"/>
      <c r="AP82" s="15"/>
      <c r="AQ82" s="15"/>
      <c r="AR82" s="827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>
        <f>ROUND(E82*20,0)</f>
        <v>4180</v>
      </c>
      <c r="BG82" s="15"/>
      <c r="BH82" s="15">
        <f t="shared" si="124"/>
        <v>62806</v>
      </c>
      <c r="BI82" s="447">
        <f>ROUND(BH82/E82,2)</f>
        <v>300.51</v>
      </c>
      <c r="BJ82" s="76">
        <f t="shared" si="68"/>
        <v>44289</v>
      </c>
      <c r="BK82" s="76">
        <f t="shared" si="69"/>
        <v>13375</v>
      </c>
      <c r="BL82" s="76">
        <f>Z82+AB82+AC82+AA82</f>
        <v>0</v>
      </c>
      <c r="BM82" s="76">
        <f>BF82</f>
        <v>4180</v>
      </c>
      <c r="BN82" s="76">
        <f>BE82</f>
        <v>0</v>
      </c>
      <c r="BO82" s="76">
        <f>BG82+AL82+AM82+AN82+AO82+AP82+AQ82+AS82+AT82+AU82+AV82+AW82+AX82+AY82+AZ82+BA82+BB82+BC82+BD82</f>
        <v>962</v>
      </c>
      <c r="BP82" s="92">
        <f>SUM(BJ82:BO82)</f>
        <v>62806</v>
      </c>
    </row>
    <row r="83" spans="1:68" ht="60">
      <c r="A83" s="859"/>
      <c r="B83" s="9" t="s">
        <v>198</v>
      </c>
      <c r="C83" s="9" t="s">
        <v>196</v>
      </c>
      <c r="D83" s="157"/>
      <c r="E83" s="10">
        <v>8031</v>
      </c>
      <c r="F83" s="830"/>
      <c r="G83" s="8">
        <f t="shared" si="109"/>
        <v>197.33699999999999</v>
      </c>
      <c r="H83" s="8">
        <f>ROUND((X83+Y83)/E83,2)</f>
        <v>6</v>
      </c>
      <c r="I83" s="8">
        <f t="shared" si="103"/>
        <v>203.33699999999999</v>
      </c>
      <c r="J83" s="451">
        <f t="shared" si="46"/>
        <v>0.88600000000000001</v>
      </c>
      <c r="K83" s="8">
        <f t="shared" si="112"/>
        <v>0</v>
      </c>
      <c r="L83" s="8">
        <f t="shared" si="113"/>
        <v>0</v>
      </c>
      <c r="M83" s="8">
        <f t="shared" si="114"/>
        <v>0</v>
      </c>
      <c r="N83" s="11">
        <f t="shared" si="115"/>
        <v>0</v>
      </c>
      <c r="O83" s="11">
        <f>ROUND(BF83/E83,3)</f>
        <v>4.4240000000000004</v>
      </c>
      <c r="P83" s="453">
        <f t="shared" si="50"/>
        <v>0.38800000000000001</v>
      </c>
      <c r="Q83" s="8">
        <f t="shared" si="104"/>
        <v>209.035</v>
      </c>
      <c r="R83" s="8">
        <f t="shared" si="116"/>
        <v>0</v>
      </c>
      <c r="S83" s="8">
        <f t="shared" si="117"/>
        <v>0</v>
      </c>
      <c r="T83" s="627">
        <f t="shared" si="123"/>
        <v>209.035</v>
      </c>
      <c r="U83" s="830"/>
      <c r="V83" s="15">
        <v>1215708</v>
      </c>
      <c r="W83" s="15">
        <f>ROUND(V83*0.302,0)+1963</f>
        <v>369107</v>
      </c>
      <c r="X83" s="15">
        <f>37363-349</f>
        <v>37014</v>
      </c>
      <c r="Y83" s="15">
        <f>ROUND(X83*0.302,0)</f>
        <v>11178</v>
      </c>
      <c r="Z83" s="15"/>
      <c r="AA83" s="15"/>
      <c r="AB83" s="15"/>
      <c r="AC83" s="15"/>
      <c r="AD83" s="15">
        <v>5034</v>
      </c>
      <c r="AE83" s="15"/>
      <c r="AF83" s="15">
        <v>520</v>
      </c>
      <c r="AG83" s="15">
        <v>1559</v>
      </c>
      <c r="AH83" s="15"/>
      <c r="AI83" s="15"/>
      <c r="AJ83" s="15"/>
      <c r="AK83" s="15">
        <v>3118</v>
      </c>
      <c r="AL83" s="15">
        <f>SUM(AD83:AK83)</f>
        <v>10231</v>
      </c>
      <c r="AM83" s="15"/>
      <c r="AN83" s="15"/>
      <c r="AO83" s="15"/>
      <c r="AP83" s="15"/>
      <c r="AQ83" s="15"/>
      <c r="AR83" s="828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>
        <f>BF84-BF79-BF80-BF81-BF82</f>
        <v>35526</v>
      </c>
      <c r="BG83" s="15"/>
      <c r="BH83" s="15">
        <f t="shared" si="124"/>
        <v>1678764</v>
      </c>
      <c r="BI83" s="447">
        <f>ROUND(BH83/E83,2)</f>
        <v>209.04</v>
      </c>
      <c r="BJ83" s="76">
        <f t="shared" si="68"/>
        <v>1252722</v>
      </c>
      <c r="BK83" s="76">
        <f t="shared" si="69"/>
        <v>380285</v>
      </c>
      <c r="BL83" s="76">
        <f>Z83+AB83+AC83+AA83</f>
        <v>0</v>
      </c>
      <c r="BM83" s="76">
        <f>BF83</f>
        <v>35526</v>
      </c>
      <c r="BN83" s="76">
        <f>BE83</f>
        <v>0</v>
      </c>
      <c r="BO83" s="76">
        <f>BG83+AL83+AM83+AN83+AO83+AP83+AQ83+AS83+AT83+AU83+AV83+AW83+AX83+AY83+AZ83+BA83+BB83+BC83+BD83</f>
        <v>10231</v>
      </c>
      <c r="BP83" s="92">
        <f>SUM(BJ83:BO83)</f>
        <v>1678764</v>
      </c>
    </row>
    <row r="84" spans="1:68" ht="27.75" customHeight="1">
      <c r="A84" s="109" t="s">
        <v>251</v>
      </c>
      <c r="B84" s="29"/>
      <c r="C84" s="29" t="s">
        <v>252</v>
      </c>
      <c r="D84" s="158"/>
      <c r="E84" s="32">
        <v>11465</v>
      </c>
      <c r="F84" s="159"/>
      <c r="G84" s="30">
        <f>ROUND((V84+W84)/E84,2)</f>
        <v>171.56</v>
      </c>
      <c r="H84" s="30">
        <f>ROUND((X84+Y84)/E84,2)</f>
        <v>10.57</v>
      </c>
      <c r="I84" s="30">
        <f>G84+H84</f>
        <v>182.13</v>
      </c>
      <c r="J84" s="30">
        <f>ROUND((AL84-AK84)/E84,2)</f>
        <v>1.1000000000000001</v>
      </c>
      <c r="K84" s="30">
        <f t="shared" si="112"/>
        <v>0</v>
      </c>
      <c r="L84" s="30">
        <f t="shared" si="113"/>
        <v>0</v>
      </c>
      <c r="M84" s="30">
        <f t="shared" si="114"/>
        <v>0</v>
      </c>
      <c r="N84" s="33">
        <f t="shared" si="115"/>
        <v>0</v>
      </c>
      <c r="O84" s="33">
        <f t="shared" si="100"/>
        <v>4.76</v>
      </c>
      <c r="P84" s="33">
        <f>ROUND(AK84/E84,3)</f>
        <v>0.47799999999999998</v>
      </c>
      <c r="Q84" s="30">
        <f>P84+O84+N84+M84+L84+K84+J84+I84</f>
        <v>188.46799999999999</v>
      </c>
      <c r="R84" s="30">
        <f t="shared" si="116"/>
        <v>0</v>
      </c>
      <c r="S84" s="30">
        <f t="shared" si="117"/>
        <v>0</v>
      </c>
      <c r="T84" s="627">
        <f t="shared" si="123"/>
        <v>188.46799999999999</v>
      </c>
      <c r="U84" s="159"/>
      <c r="V84" s="24">
        <f>SUM(V79:V83)</f>
        <v>1509178</v>
      </c>
      <c r="W84" s="24">
        <f>SUM(W79:W83)</f>
        <v>457734</v>
      </c>
      <c r="X84" s="24">
        <f>SUM(X79:X83)</f>
        <v>93056</v>
      </c>
      <c r="Y84" s="24">
        <f>SUM(Y79:Y83)</f>
        <v>28104</v>
      </c>
      <c r="Z84" s="24">
        <f t="shared" ref="Z84:BG84" si="126">Z79+Z80+Z81+Z82+Z83</f>
        <v>0</v>
      </c>
      <c r="AA84" s="24">
        <f t="shared" si="126"/>
        <v>0</v>
      </c>
      <c r="AB84" s="24">
        <f t="shared" si="126"/>
        <v>0</v>
      </c>
      <c r="AC84" s="24">
        <f t="shared" si="126"/>
        <v>0</v>
      </c>
      <c r="AD84" s="24">
        <f>SUM(AD79:AD83)</f>
        <v>8980</v>
      </c>
      <c r="AE84" s="24">
        <f t="shared" ref="AE84:AL84" si="127">SUM(AE79:AE83)</f>
        <v>0</v>
      </c>
      <c r="AF84" s="24">
        <f t="shared" si="127"/>
        <v>914</v>
      </c>
      <c r="AG84" s="24">
        <f t="shared" si="127"/>
        <v>2742</v>
      </c>
      <c r="AH84" s="24">
        <f t="shared" si="127"/>
        <v>0</v>
      </c>
      <c r="AI84" s="24">
        <f t="shared" si="127"/>
        <v>0</v>
      </c>
      <c r="AJ84" s="24">
        <f t="shared" si="127"/>
        <v>0</v>
      </c>
      <c r="AK84" s="24">
        <f t="shared" si="127"/>
        <v>5485</v>
      </c>
      <c r="AL84" s="24">
        <f t="shared" si="127"/>
        <v>18121</v>
      </c>
      <c r="AM84" s="24">
        <f t="shared" si="126"/>
        <v>0</v>
      </c>
      <c r="AN84" s="24">
        <f t="shared" si="126"/>
        <v>0</v>
      </c>
      <c r="AO84" s="24">
        <f t="shared" si="126"/>
        <v>0</v>
      </c>
      <c r="AP84" s="24">
        <f t="shared" si="126"/>
        <v>0</v>
      </c>
      <c r="AQ84" s="24">
        <f t="shared" si="126"/>
        <v>0</v>
      </c>
      <c r="AR84" s="307"/>
      <c r="AS84" s="24">
        <f t="shared" si="126"/>
        <v>0</v>
      </c>
      <c r="AT84" s="24">
        <f t="shared" si="126"/>
        <v>0</v>
      </c>
      <c r="AU84" s="24">
        <f t="shared" si="126"/>
        <v>0</v>
      </c>
      <c r="AV84" s="24">
        <f t="shared" si="126"/>
        <v>0</v>
      </c>
      <c r="AW84" s="24">
        <f t="shared" si="126"/>
        <v>0</v>
      </c>
      <c r="AX84" s="24">
        <f t="shared" si="126"/>
        <v>0</v>
      </c>
      <c r="AY84" s="24">
        <f t="shared" si="126"/>
        <v>0</v>
      </c>
      <c r="AZ84" s="24">
        <f t="shared" si="126"/>
        <v>0</v>
      </c>
      <c r="BA84" s="24">
        <f t="shared" si="126"/>
        <v>0</v>
      </c>
      <c r="BB84" s="24">
        <f t="shared" si="126"/>
        <v>0</v>
      </c>
      <c r="BC84" s="24">
        <f t="shared" si="126"/>
        <v>0</v>
      </c>
      <c r="BD84" s="24">
        <f t="shared" si="126"/>
        <v>0</v>
      </c>
      <c r="BE84" s="24">
        <f t="shared" si="126"/>
        <v>0</v>
      </c>
      <c r="BF84" s="24">
        <v>54575</v>
      </c>
      <c r="BG84" s="24">
        <f t="shared" si="126"/>
        <v>0</v>
      </c>
      <c r="BH84" s="24">
        <f t="shared" si="124"/>
        <v>2160768</v>
      </c>
      <c r="BI84" s="447">
        <f>ROUND(BH84/E84,2)</f>
        <v>188.47</v>
      </c>
      <c r="BJ84" s="24">
        <f t="shared" ref="BJ84:BP84" si="128">BJ79+BJ80+BJ81+BJ82+BJ83</f>
        <v>1602234</v>
      </c>
      <c r="BK84" s="24">
        <f t="shared" si="128"/>
        <v>485838</v>
      </c>
      <c r="BL84" s="24">
        <f t="shared" si="128"/>
        <v>0</v>
      </c>
      <c r="BM84" s="24">
        <f t="shared" si="128"/>
        <v>54575</v>
      </c>
      <c r="BN84" s="24">
        <f t="shared" si="128"/>
        <v>0</v>
      </c>
      <c r="BO84" s="24">
        <f t="shared" si="128"/>
        <v>18121</v>
      </c>
      <c r="BP84" s="24">
        <f t="shared" si="128"/>
        <v>2160768</v>
      </c>
    </row>
    <row r="85" spans="1:68" ht="21" customHeight="1">
      <c r="A85" s="857" t="s">
        <v>194</v>
      </c>
      <c r="B85" s="648" t="s">
        <v>197</v>
      </c>
      <c r="C85" s="648" t="s">
        <v>189</v>
      </c>
      <c r="D85" s="157" t="s">
        <v>190</v>
      </c>
      <c r="E85" s="313">
        <v>343</v>
      </c>
      <c r="F85" s="671" t="s">
        <v>205</v>
      </c>
      <c r="G85" s="8">
        <f t="shared" ref="G85:G95" si="129">ROUND((V85+W85)/E85,3)</f>
        <v>454.18700000000001</v>
      </c>
      <c r="H85" s="8">
        <f>ROUND((X85+Y85)/E85,2)</f>
        <v>0</v>
      </c>
      <c r="I85" s="8">
        <f t="shared" ref="I85:I90" si="130">G85+H85</f>
        <v>454.18700000000001</v>
      </c>
      <c r="J85" s="451">
        <f t="shared" si="46"/>
        <v>3.125</v>
      </c>
      <c r="K85" s="8">
        <f t="shared" si="112"/>
        <v>0</v>
      </c>
      <c r="L85" s="8">
        <f t="shared" si="113"/>
        <v>0</v>
      </c>
      <c r="M85" s="8">
        <f t="shared" si="114"/>
        <v>0</v>
      </c>
      <c r="N85" s="11">
        <f t="shared" si="115"/>
        <v>0</v>
      </c>
      <c r="O85" s="11">
        <f t="shared" si="100"/>
        <v>2</v>
      </c>
      <c r="P85" s="453">
        <f t="shared" si="50"/>
        <v>1.341</v>
      </c>
      <c r="Q85" s="8">
        <f t="shared" ref="Q85:Q90" si="131">P85+O85+N85+M85+L85+K85+J85+I85</f>
        <v>460.65300000000002</v>
      </c>
      <c r="R85" s="8">
        <f t="shared" si="116"/>
        <v>0</v>
      </c>
      <c r="S85" s="8">
        <f t="shared" si="117"/>
        <v>0</v>
      </c>
      <c r="T85" s="627">
        <f t="shared" si="123"/>
        <v>460.65300000000002</v>
      </c>
      <c r="U85" s="671" t="s">
        <v>205</v>
      </c>
      <c r="V85" s="15">
        <v>119651</v>
      </c>
      <c r="W85" s="15">
        <f t="shared" si="125"/>
        <v>36135</v>
      </c>
      <c r="X85" s="15"/>
      <c r="Y85" s="15"/>
      <c r="Z85" s="15"/>
      <c r="AA85" s="15"/>
      <c r="AB85" s="15"/>
      <c r="AC85" s="15"/>
      <c r="AD85" s="15">
        <v>765</v>
      </c>
      <c r="AE85" s="15"/>
      <c r="AF85" s="15">
        <v>77</v>
      </c>
      <c r="AG85" s="15">
        <v>230</v>
      </c>
      <c r="AH85" s="15"/>
      <c r="AI85" s="15"/>
      <c r="AJ85" s="15"/>
      <c r="AK85" s="15">
        <v>460</v>
      </c>
      <c r="AL85" s="15">
        <f>SUM(AD85:AK85)</f>
        <v>1532</v>
      </c>
      <c r="AM85" s="15"/>
      <c r="AN85" s="15"/>
      <c r="AO85" s="15"/>
      <c r="AP85" s="15"/>
      <c r="AQ85" s="15"/>
      <c r="AR85" s="705" t="s">
        <v>205</v>
      </c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>
        <f>ROUND(E85*2,0)</f>
        <v>686</v>
      </c>
      <c r="BG85" s="15"/>
      <c r="BH85" s="15">
        <f t="shared" si="124"/>
        <v>158004</v>
      </c>
      <c r="BI85" s="447">
        <f>ROUND(BH85/E85,2)</f>
        <v>460.65</v>
      </c>
      <c r="BJ85" s="76">
        <f t="shared" si="68"/>
        <v>119651</v>
      </c>
      <c r="BK85" s="76">
        <f t="shared" si="69"/>
        <v>36135</v>
      </c>
      <c r="BL85" s="76">
        <f>Z85+AB85+AC85+AA85</f>
        <v>0</v>
      </c>
      <c r="BM85" s="76">
        <f>BF85</f>
        <v>686</v>
      </c>
      <c r="BN85" s="76">
        <f>BE85</f>
        <v>0</v>
      </c>
      <c r="BO85" s="76">
        <f>BG85+AL85+AM85+AN85+AO85+AP85+AQ85+AS85+AT85+AU85+AV85+AW85+AX85+AY85+AZ85+BA85+BB85+BC85+BD85</f>
        <v>1532</v>
      </c>
      <c r="BP85" s="92">
        <f>SUM(BJ85:BO85)</f>
        <v>158004</v>
      </c>
    </row>
    <row r="86" spans="1:68" ht="21" customHeight="1">
      <c r="A86" s="858"/>
      <c r="B86" s="849"/>
      <c r="C86" s="849"/>
      <c r="D86" s="157" t="s">
        <v>191</v>
      </c>
      <c r="E86" s="313">
        <v>366</v>
      </c>
      <c r="F86" s="829"/>
      <c r="G86" s="8">
        <f t="shared" si="129"/>
        <v>454.18900000000002</v>
      </c>
      <c r="H86" s="8">
        <f>ROUND((X86+Y86)/E86,3)</f>
        <v>0</v>
      </c>
      <c r="I86" s="8">
        <f t="shared" si="130"/>
        <v>454.18900000000002</v>
      </c>
      <c r="J86" s="451">
        <f t="shared" ref="J86:J95" si="132">ROUND((AL86-AK86)/E86,3)</f>
        <v>3.1259999999999999</v>
      </c>
      <c r="K86" s="8">
        <f t="shared" si="112"/>
        <v>0</v>
      </c>
      <c r="L86" s="8">
        <f t="shared" si="113"/>
        <v>0</v>
      </c>
      <c r="M86" s="8">
        <f t="shared" si="114"/>
        <v>0</v>
      </c>
      <c r="N86" s="11">
        <f t="shared" si="115"/>
        <v>0</v>
      </c>
      <c r="O86" s="11">
        <f t="shared" si="100"/>
        <v>9</v>
      </c>
      <c r="P86" s="453">
        <f t="shared" si="50"/>
        <v>1.339</v>
      </c>
      <c r="Q86" s="8">
        <f t="shared" si="131"/>
        <v>467.654</v>
      </c>
      <c r="R86" s="8">
        <f t="shared" si="116"/>
        <v>0</v>
      </c>
      <c r="S86" s="8">
        <f t="shared" si="117"/>
        <v>0</v>
      </c>
      <c r="T86" s="627">
        <f t="shared" si="123"/>
        <v>467.654</v>
      </c>
      <c r="U86" s="829"/>
      <c r="V86" s="15">
        <v>127675</v>
      </c>
      <c r="W86" s="15">
        <f t="shared" si="125"/>
        <v>38558</v>
      </c>
      <c r="X86" s="15"/>
      <c r="Y86" s="15"/>
      <c r="Z86" s="15"/>
      <c r="AA86" s="15"/>
      <c r="AB86" s="15"/>
      <c r="AC86" s="15"/>
      <c r="AD86" s="15">
        <v>817</v>
      </c>
      <c r="AE86" s="15"/>
      <c r="AF86" s="15">
        <v>82</v>
      </c>
      <c r="AG86" s="15">
        <v>245</v>
      </c>
      <c r="AH86" s="15"/>
      <c r="AI86" s="15"/>
      <c r="AJ86" s="15"/>
      <c r="AK86" s="15">
        <v>490</v>
      </c>
      <c r="AL86" s="15">
        <f>SUM(AD86:AK86)</f>
        <v>1634</v>
      </c>
      <c r="AM86" s="15"/>
      <c r="AN86" s="15"/>
      <c r="AO86" s="15"/>
      <c r="AP86" s="15"/>
      <c r="AQ86" s="15"/>
      <c r="AR86" s="827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>
        <f>ROUND(E86*9,0)</f>
        <v>3294</v>
      </c>
      <c r="BG86" s="15"/>
      <c r="BH86" s="15">
        <f t="shared" si="124"/>
        <v>171161</v>
      </c>
      <c r="BI86" s="447">
        <f>ROUND(BH86/E86,3)</f>
        <v>467.65300000000002</v>
      </c>
      <c r="BJ86" s="76">
        <f t="shared" si="68"/>
        <v>127675</v>
      </c>
      <c r="BK86" s="76">
        <f t="shared" si="69"/>
        <v>38558</v>
      </c>
      <c r="BL86" s="76">
        <f>Z86+AB86+AC86+AA86</f>
        <v>0</v>
      </c>
      <c r="BM86" s="76">
        <f>BF86</f>
        <v>3294</v>
      </c>
      <c r="BN86" s="76">
        <f>BE86</f>
        <v>0</v>
      </c>
      <c r="BO86" s="76">
        <f>BG86+AL86+AM86+AN86+AO86+AP86+AQ86+AS86+AT86+AU86+AV86+AW86+AX86+AY86+AZ86+BA86+BB86+BC86+BD86</f>
        <v>1634</v>
      </c>
      <c r="BP86" s="92">
        <f>SUM(BJ86:BO86)</f>
        <v>171161</v>
      </c>
    </row>
    <row r="87" spans="1:68" ht="21" customHeight="1">
      <c r="A87" s="858"/>
      <c r="B87" s="849"/>
      <c r="C87" s="849"/>
      <c r="D87" s="157" t="s">
        <v>192</v>
      </c>
      <c r="E87" s="313">
        <v>297</v>
      </c>
      <c r="F87" s="829"/>
      <c r="G87" s="8">
        <f t="shared" si="129"/>
        <v>454.18900000000002</v>
      </c>
      <c r="H87" s="8">
        <f>ROUND((X87+Y87)/E87,3)</f>
        <v>0</v>
      </c>
      <c r="I87" s="8">
        <f t="shared" si="130"/>
        <v>454.18900000000002</v>
      </c>
      <c r="J87" s="451">
        <f t="shared" si="132"/>
        <v>3.125</v>
      </c>
      <c r="K87" s="8">
        <f t="shared" si="112"/>
        <v>0</v>
      </c>
      <c r="L87" s="8">
        <f t="shared" si="113"/>
        <v>0</v>
      </c>
      <c r="M87" s="8">
        <f t="shared" si="114"/>
        <v>0</v>
      </c>
      <c r="N87" s="11">
        <f t="shared" si="115"/>
        <v>0</v>
      </c>
      <c r="O87" s="11">
        <f t="shared" si="100"/>
        <v>20</v>
      </c>
      <c r="P87" s="453">
        <f t="shared" si="50"/>
        <v>1.34</v>
      </c>
      <c r="Q87" s="8">
        <f t="shared" si="131"/>
        <v>478.654</v>
      </c>
      <c r="R87" s="8">
        <f t="shared" si="116"/>
        <v>0</v>
      </c>
      <c r="S87" s="8">
        <f t="shared" si="117"/>
        <v>0</v>
      </c>
      <c r="T87" s="627">
        <f t="shared" si="123"/>
        <v>478.654</v>
      </c>
      <c r="U87" s="829"/>
      <c r="V87" s="15">
        <v>103605</v>
      </c>
      <c r="W87" s="15">
        <f t="shared" si="125"/>
        <v>31289</v>
      </c>
      <c r="X87" s="15"/>
      <c r="Y87" s="15"/>
      <c r="Z87" s="15"/>
      <c r="AA87" s="15"/>
      <c r="AB87" s="15"/>
      <c r="AC87" s="15"/>
      <c r="AD87" s="15">
        <v>663</v>
      </c>
      <c r="AE87" s="15"/>
      <c r="AF87" s="15">
        <v>66</v>
      </c>
      <c r="AG87" s="15">
        <v>199</v>
      </c>
      <c r="AH87" s="15"/>
      <c r="AI87" s="15"/>
      <c r="AJ87" s="15"/>
      <c r="AK87" s="15">
        <v>398</v>
      </c>
      <c r="AL87" s="15">
        <f>SUM(AD87:AK87)</f>
        <v>1326</v>
      </c>
      <c r="AM87" s="15"/>
      <c r="AN87" s="15"/>
      <c r="AO87" s="15"/>
      <c r="AP87" s="15"/>
      <c r="AQ87" s="15"/>
      <c r="AR87" s="827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>
        <f>ROUND(E87*20,0)</f>
        <v>5940</v>
      </c>
      <c r="BG87" s="15"/>
      <c r="BH87" s="15">
        <f t="shared" si="124"/>
        <v>142160</v>
      </c>
      <c r="BI87" s="447">
        <f>ROUND(BH87/E87,2)</f>
        <v>478.65</v>
      </c>
      <c r="BJ87" s="76">
        <f t="shared" si="68"/>
        <v>103605</v>
      </c>
      <c r="BK87" s="76">
        <f t="shared" si="69"/>
        <v>31289</v>
      </c>
      <c r="BL87" s="76">
        <f>Z87+AB87+AC87+AA87</f>
        <v>0</v>
      </c>
      <c r="BM87" s="76">
        <f>BF87</f>
        <v>5940</v>
      </c>
      <c r="BN87" s="76">
        <f>BE87</f>
        <v>0</v>
      </c>
      <c r="BO87" s="76">
        <f>BG87+AL87+AM87+AN87+AO87+AP87+AQ87+AS87+AT87+AU87+AV87+AW87+AX87+AY87+AZ87+BA87+BB87+BC87+BD87</f>
        <v>1326</v>
      </c>
      <c r="BP87" s="92">
        <f>SUM(BJ87:BO87)</f>
        <v>142160</v>
      </c>
    </row>
    <row r="88" spans="1:68" ht="21" hidden="1" customHeight="1" outlineLevel="1">
      <c r="A88" s="858"/>
      <c r="B88" s="850"/>
      <c r="C88" s="850"/>
      <c r="D88" s="157" t="s">
        <v>193</v>
      </c>
      <c r="E88" s="313">
        <v>0</v>
      </c>
      <c r="F88" s="829"/>
      <c r="G88" s="8" t="e">
        <f t="shared" si="129"/>
        <v>#DIV/0!</v>
      </c>
      <c r="H88" s="8" t="e">
        <f>ROUND((X88+Y88)/E88,3)</f>
        <v>#DIV/0!</v>
      </c>
      <c r="I88" s="8" t="e">
        <f t="shared" si="130"/>
        <v>#DIV/0!</v>
      </c>
      <c r="J88" s="451" t="e">
        <f t="shared" si="132"/>
        <v>#DIV/0!</v>
      </c>
      <c r="K88" s="8" t="e">
        <f t="shared" si="112"/>
        <v>#DIV/0!</v>
      </c>
      <c r="L88" s="8" t="e">
        <f t="shared" si="113"/>
        <v>#DIV/0!</v>
      </c>
      <c r="M88" s="8" t="e">
        <f t="shared" si="114"/>
        <v>#DIV/0!</v>
      </c>
      <c r="N88" s="11" t="e">
        <f t="shared" si="115"/>
        <v>#DIV/0!</v>
      </c>
      <c r="O88" s="11" t="e">
        <f t="shared" si="100"/>
        <v>#DIV/0!</v>
      </c>
      <c r="P88" s="453" t="e">
        <f t="shared" si="50"/>
        <v>#DIV/0!</v>
      </c>
      <c r="Q88" s="8" t="e">
        <f t="shared" si="131"/>
        <v>#DIV/0!</v>
      </c>
      <c r="R88" s="8" t="e">
        <f t="shared" si="116"/>
        <v>#DIV/0!</v>
      </c>
      <c r="S88" s="8" t="e">
        <f t="shared" si="117"/>
        <v>#DIV/0!</v>
      </c>
      <c r="T88" s="627" t="e">
        <f t="shared" si="123"/>
        <v>#DIV/0!</v>
      </c>
      <c r="U88" s="829"/>
      <c r="V88" s="15">
        <v>0</v>
      </c>
      <c r="W88" s="15">
        <f t="shared" si="125"/>
        <v>0</v>
      </c>
      <c r="X88" s="15"/>
      <c r="Y88" s="15"/>
      <c r="Z88" s="15"/>
      <c r="AA88" s="15"/>
      <c r="AB88" s="15"/>
      <c r="AC88" s="15"/>
      <c r="AD88" s="15">
        <v>0</v>
      </c>
      <c r="AE88" s="15"/>
      <c r="AF88" s="15">
        <v>0</v>
      </c>
      <c r="AG88" s="15">
        <v>0</v>
      </c>
      <c r="AH88" s="15"/>
      <c r="AI88" s="15"/>
      <c r="AJ88" s="15"/>
      <c r="AK88" s="15">
        <v>0</v>
      </c>
      <c r="AL88" s="15">
        <f>SUM(AD88:AK88)</f>
        <v>0</v>
      </c>
      <c r="AM88" s="15"/>
      <c r="AN88" s="15"/>
      <c r="AO88" s="15"/>
      <c r="AP88" s="15"/>
      <c r="AQ88" s="15"/>
      <c r="AR88" s="827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>
        <f>ROUND(E88*20,0)</f>
        <v>0</v>
      </c>
      <c r="BG88" s="15"/>
      <c r="BH88" s="15">
        <f t="shared" si="124"/>
        <v>0</v>
      </c>
      <c r="BI88" s="447" t="e">
        <f>ROUND(BH88/E88,2)</f>
        <v>#DIV/0!</v>
      </c>
      <c r="BJ88" s="76">
        <f t="shared" si="68"/>
        <v>0</v>
      </c>
      <c r="BK88" s="76">
        <f t="shared" si="69"/>
        <v>0</v>
      </c>
      <c r="BL88" s="76">
        <f>Z88+AB88+AC88+AA88</f>
        <v>0</v>
      </c>
      <c r="BM88" s="76">
        <f>BF88</f>
        <v>0</v>
      </c>
      <c r="BN88" s="76">
        <f>BE88</f>
        <v>0</v>
      </c>
      <c r="BO88" s="76">
        <f>BG88+AL88+AM88+AN88+AO88+AP88+AQ88+AS88+AT88+AU88+AV88+AW88+AX88+AY88+AZ88+BA88+BB88+BC88+BD88</f>
        <v>0</v>
      </c>
      <c r="BP88" s="92">
        <f>SUM(BJ88:BO88)</f>
        <v>0</v>
      </c>
    </row>
    <row r="89" spans="1:68" ht="60" collapsed="1">
      <c r="A89" s="859"/>
      <c r="B89" s="9" t="s">
        <v>198</v>
      </c>
      <c r="C89" s="9" t="s">
        <v>196</v>
      </c>
      <c r="D89" s="157"/>
      <c r="E89" s="313">
        <v>3527</v>
      </c>
      <c r="F89" s="830"/>
      <c r="G89" s="8">
        <f t="shared" si="129"/>
        <v>203.32499999999999</v>
      </c>
      <c r="H89" s="8">
        <f>ROUND((X89+Y89)/E89,3)</f>
        <v>0</v>
      </c>
      <c r="I89" s="8">
        <f t="shared" si="130"/>
        <v>203.32499999999999</v>
      </c>
      <c r="J89" s="451">
        <f t="shared" si="132"/>
        <v>1.145</v>
      </c>
      <c r="K89" s="8">
        <f t="shared" si="112"/>
        <v>0</v>
      </c>
      <c r="L89" s="8">
        <f t="shared" si="113"/>
        <v>0</v>
      </c>
      <c r="M89" s="8">
        <f t="shared" si="114"/>
        <v>0</v>
      </c>
      <c r="N89" s="11">
        <f t="shared" si="115"/>
        <v>0</v>
      </c>
      <c r="O89" s="11">
        <f t="shared" si="100"/>
        <v>4.93</v>
      </c>
      <c r="P89" s="453">
        <f t="shared" ref="P89:P120" si="133">ROUND(AK89/E89,3)</f>
        <v>0.502</v>
      </c>
      <c r="Q89" s="8">
        <f t="shared" si="131"/>
        <v>209.90199999999999</v>
      </c>
      <c r="R89" s="8">
        <f t="shared" si="116"/>
        <v>0</v>
      </c>
      <c r="S89" s="8">
        <f t="shared" si="117"/>
        <v>0</v>
      </c>
      <c r="T89" s="627">
        <f t="shared" si="123"/>
        <v>209.90199999999999</v>
      </c>
      <c r="U89" s="830"/>
      <c r="V89" s="15">
        <f>534026+16800</f>
        <v>550826</v>
      </c>
      <c r="W89" s="15">
        <v>166303</v>
      </c>
      <c r="X89" s="15"/>
      <c r="Y89" s="15"/>
      <c r="Z89" s="15"/>
      <c r="AA89" s="15"/>
      <c r="AB89" s="15"/>
      <c r="AC89" s="15"/>
      <c r="AD89" s="15">
        <v>2859</v>
      </c>
      <c r="AE89" s="15"/>
      <c r="AF89" s="15">
        <v>295</v>
      </c>
      <c r="AG89" s="15">
        <v>886</v>
      </c>
      <c r="AH89" s="15"/>
      <c r="AI89" s="15"/>
      <c r="AJ89" s="15"/>
      <c r="AK89" s="15">
        <v>1772</v>
      </c>
      <c r="AL89" s="15">
        <f>SUM(AD89:AK89)</f>
        <v>5812</v>
      </c>
      <c r="AM89" s="15"/>
      <c r="AN89" s="15"/>
      <c r="AO89" s="15"/>
      <c r="AP89" s="15"/>
      <c r="AQ89" s="15"/>
      <c r="AR89" s="828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>
        <f>BF90-BF85-BF86-BF87-BF88</f>
        <v>17375</v>
      </c>
      <c r="BG89" s="15"/>
      <c r="BH89" s="15">
        <f t="shared" si="124"/>
        <v>740316</v>
      </c>
      <c r="BI89" s="447">
        <f>ROUND(BH89/E89,3)</f>
        <v>209.9</v>
      </c>
      <c r="BJ89" s="76">
        <f t="shared" si="68"/>
        <v>550826</v>
      </c>
      <c r="BK89" s="76">
        <f t="shared" si="69"/>
        <v>166303</v>
      </c>
      <c r="BL89" s="76">
        <f>Z89+AB89+AC89+AA89</f>
        <v>0</v>
      </c>
      <c r="BM89" s="76">
        <f>BF89</f>
        <v>17375</v>
      </c>
      <c r="BN89" s="76">
        <f>BE89</f>
        <v>0</v>
      </c>
      <c r="BO89" s="76">
        <f>BG89+AL89+AM89+AN89+AO89+AP89+AQ89+AS89+AT89+AU89+AV89+AW89+AX89+AY89+AZ89+BA89+BB89+BC89+BD89</f>
        <v>5812</v>
      </c>
      <c r="BP89" s="92">
        <f>SUM(BJ89:BO89)</f>
        <v>740316</v>
      </c>
    </row>
    <row r="90" spans="1:68" ht="27.75" customHeight="1">
      <c r="A90" s="109" t="s">
        <v>251</v>
      </c>
      <c r="B90" s="29"/>
      <c r="C90" s="29" t="s">
        <v>252</v>
      </c>
      <c r="D90" s="158"/>
      <c r="E90" s="32">
        <v>5536</v>
      </c>
      <c r="F90" s="159"/>
      <c r="G90" s="30">
        <f t="shared" si="129"/>
        <v>212.07400000000001</v>
      </c>
      <c r="H90" s="30">
        <f t="shared" ref="H90:H97" si="134">ROUND((X90+Y90)/E90,2)</f>
        <v>0</v>
      </c>
      <c r="I90" s="30">
        <f t="shared" si="130"/>
        <v>212.07400000000001</v>
      </c>
      <c r="J90" s="30">
        <f t="shared" si="132"/>
        <v>1.298</v>
      </c>
      <c r="K90" s="30">
        <f t="shared" si="112"/>
        <v>0</v>
      </c>
      <c r="L90" s="30">
        <f t="shared" si="113"/>
        <v>0</v>
      </c>
      <c r="M90" s="30">
        <f t="shared" si="114"/>
        <v>0</v>
      </c>
      <c r="N90" s="33">
        <f t="shared" si="115"/>
        <v>0</v>
      </c>
      <c r="O90" s="33">
        <f t="shared" si="100"/>
        <v>4.93</v>
      </c>
      <c r="P90" s="33">
        <f t="shared" si="133"/>
        <v>0.56399999999999995</v>
      </c>
      <c r="Q90" s="30">
        <f t="shared" si="131"/>
        <v>218.86600000000001</v>
      </c>
      <c r="R90" s="30">
        <f t="shared" si="116"/>
        <v>0</v>
      </c>
      <c r="S90" s="30">
        <f t="shared" si="117"/>
        <v>0</v>
      </c>
      <c r="T90" s="627">
        <f t="shared" si="123"/>
        <v>218.86600000000001</v>
      </c>
      <c r="U90" s="159"/>
      <c r="V90" s="24">
        <f>SUM(V85:V89)</f>
        <v>901757</v>
      </c>
      <c r="W90" s="24">
        <f>SUM(W85:W89)</f>
        <v>272285</v>
      </c>
      <c r="X90" s="24">
        <f>SUM(X85:X89)</f>
        <v>0</v>
      </c>
      <c r="Y90" s="24">
        <f>SUM(Y85:Y89)</f>
        <v>0</v>
      </c>
      <c r="Z90" s="24">
        <f t="shared" ref="Z90:BE90" si="135">Z85+Z86+Z87+Z88+Z89</f>
        <v>0</v>
      </c>
      <c r="AA90" s="24">
        <f t="shared" si="135"/>
        <v>0</v>
      </c>
      <c r="AB90" s="24">
        <f t="shared" si="135"/>
        <v>0</v>
      </c>
      <c r="AC90" s="24">
        <f t="shared" si="135"/>
        <v>0</v>
      </c>
      <c r="AD90" s="24">
        <f t="shared" ref="AD90:AL90" si="136">SUM(AD85:AD89)</f>
        <v>5104</v>
      </c>
      <c r="AE90" s="24">
        <f t="shared" si="136"/>
        <v>0</v>
      </c>
      <c r="AF90" s="24">
        <f t="shared" si="136"/>
        <v>520</v>
      </c>
      <c r="AG90" s="24">
        <f t="shared" si="136"/>
        <v>1560</v>
      </c>
      <c r="AH90" s="24">
        <f t="shared" si="136"/>
        <v>0</v>
      </c>
      <c r="AI90" s="24">
        <f t="shared" si="136"/>
        <v>0</v>
      </c>
      <c r="AJ90" s="24">
        <f t="shared" si="136"/>
        <v>0</v>
      </c>
      <c r="AK90" s="24">
        <f t="shared" si="136"/>
        <v>3120</v>
      </c>
      <c r="AL90" s="24">
        <f t="shared" si="136"/>
        <v>10304</v>
      </c>
      <c r="AM90" s="24">
        <f t="shared" si="135"/>
        <v>0</v>
      </c>
      <c r="AN90" s="24">
        <f t="shared" si="135"/>
        <v>0</v>
      </c>
      <c r="AO90" s="24">
        <f t="shared" si="135"/>
        <v>0</v>
      </c>
      <c r="AP90" s="24">
        <f t="shared" si="135"/>
        <v>0</v>
      </c>
      <c r="AQ90" s="24">
        <f t="shared" si="135"/>
        <v>0</v>
      </c>
      <c r="AR90" s="24"/>
      <c r="AS90" s="24">
        <f t="shared" si="135"/>
        <v>0</v>
      </c>
      <c r="AT90" s="24">
        <f t="shared" si="135"/>
        <v>0</v>
      </c>
      <c r="AU90" s="24">
        <f t="shared" si="135"/>
        <v>0</v>
      </c>
      <c r="AV90" s="24">
        <f t="shared" si="135"/>
        <v>0</v>
      </c>
      <c r="AW90" s="24">
        <f t="shared" si="135"/>
        <v>0</v>
      </c>
      <c r="AX90" s="24">
        <f t="shared" si="135"/>
        <v>0</v>
      </c>
      <c r="AY90" s="24">
        <f t="shared" si="135"/>
        <v>0</v>
      </c>
      <c r="AZ90" s="24">
        <f t="shared" si="135"/>
        <v>0</v>
      </c>
      <c r="BA90" s="24">
        <f t="shared" si="135"/>
        <v>0</v>
      </c>
      <c r="BB90" s="24">
        <f t="shared" si="135"/>
        <v>0</v>
      </c>
      <c r="BC90" s="24">
        <f t="shared" si="135"/>
        <v>0</v>
      </c>
      <c r="BD90" s="24">
        <f t="shared" si="135"/>
        <v>0</v>
      </c>
      <c r="BE90" s="24">
        <f t="shared" si="135"/>
        <v>0</v>
      </c>
      <c r="BF90" s="24">
        <v>27295</v>
      </c>
      <c r="BG90" s="24">
        <f>BG85+BG86+BG87+BG88+BG89</f>
        <v>0</v>
      </c>
      <c r="BH90" s="24">
        <f t="shared" si="124"/>
        <v>1211641</v>
      </c>
      <c r="BI90" s="447">
        <f t="shared" ref="BI90:BI121" si="137">ROUND(BH90/E90,2)</f>
        <v>218.87</v>
      </c>
      <c r="BJ90" s="24">
        <f t="shared" ref="BJ90:BP90" si="138">BJ85+BJ86+BJ87+BJ88+BJ89</f>
        <v>901757</v>
      </c>
      <c r="BK90" s="24">
        <f t="shared" si="138"/>
        <v>272285</v>
      </c>
      <c r="BL90" s="24">
        <f t="shared" si="138"/>
        <v>0</v>
      </c>
      <c r="BM90" s="24">
        <f t="shared" si="138"/>
        <v>27295</v>
      </c>
      <c r="BN90" s="24">
        <f t="shared" si="138"/>
        <v>0</v>
      </c>
      <c r="BO90" s="24">
        <f t="shared" si="138"/>
        <v>10304</v>
      </c>
      <c r="BP90" s="24">
        <f t="shared" si="138"/>
        <v>1211641</v>
      </c>
    </row>
    <row r="91" spans="1:68" ht="19.5" customHeight="1">
      <c r="A91" s="648" t="s">
        <v>194</v>
      </c>
      <c r="B91" s="648" t="s">
        <v>197</v>
      </c>
      <c r="C91" s="648" t="s">
        <v>189</v>
      </c>
      <c r="D91" s="157" t="s">
        <v>190</v>
      </c>
      <c r="E91" s="10">
        <v>685</v>
      </c>
      <c r="F91" s="671" t="s">
        <v>206</v>
      </c>
      <c r="G91" s="8">
        <f t="shared" si="129"/>
        <v>196.261</v>
      </c>
      <c r="H91" s="8">
        <f t="shared" si="134"/>
        <v>0</v>
      </c>
      <c r="I91" s="8">
        <f t="shared" ref="I91:I102" si="139">G91+H91</f>
        <v>196.261</v>
      </c>
      <c r="J91" s="451">
        <f t="shared" si="132"/>
        <v>2.407</v>
      </c>
      <c r="K91" s="8">
        <f t="shared" si="112"/>
        <v>0</v>
      </c>
      <c r="L91" s="8">
        <f t="shared" si="113"/>
        <v>0</v>
      </c>
      <c r="M91" s="8">
        <f t="shared" si="114"/>
        <v>0</v>
      </c>
      <c r="N91" s="11">
        <f t="shared" si="115"/>
        <v>0</v>
      </c>
      <c r="O91" s="11">
        <f>ROUND(BF91/E91,3)</f>
        <v>2</v>
      </c>
      <c r="P91" s="453">
        <f t="shared" si="133"/>
        <v>1.032</v>
      </c>
      <c r="Q91" s="8">
        <f t="shared" ref="Q91:Q102" si="140">P91+O91+N91+M91+L91+K91+J91+I91</f>
        <v>201.7</v>
      </c>
      <c r="R91" s="8">
        <f t="shared" si="116"/>
        <v>0</v>
      </c>
      <c r="S91" s="8">
        <f t="shared" si="117"/>
        <v>0</v>
      </c>
      <c r="T91" s="627">
        <f t="shared" ref="T91:T138" si="141">Q91+R91+S91</f>
        <v>201.7</v>
      </c>
      <c r="U91" s="671" t="s">
        <v>206</v>
      </c>
      <c r="V91" s="15">
        <v>103256</v>
      </c>
      <c r="W91" s="15">
        <f>ROUND(V91*0.302,0)</f>
        <v>31183</v>
      </c>
      <c r="X91" s="15"/>
      <c r="Y91" s="15"/>
      <c r="Z91" s="15"/>
      <c r="AA91" s="15"/>
      <c r="AB91" s="15"/>
      <c r="AC91" s="15"/>
      <c r="AD91" s="15">
        <v>1178</v>
      </c>
      <c r="AE91" s="15"/>
      <c r="AF91" s="15">
        <v>118</v>
      </c>
      <c r="AG91" s="15">
        <v>353</v>
      </c>
      <c r="AH91" s="15"/>
      <c r="AI91" s="15"/>
      <c r="AJ91" s="15"/>
      <c r="AK91" s="15">
        <v>707</v>
      </c>
      <c r="AL91" s="15">
        <f>SUM(AD91:AK91)</f>
        <v>2356</v>
      </c>
      <c r="AM91" s="15"/>
      <c r="AN91" s="15"/>
      <c r="AO91" s="15"/>
      <c r="AP91" s="15"/>
      <c r="AQ91" s="15"/>
      <c r="AR91" s="705" t="s">
        <v>206</v>
      </c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>
        <f>ROUND(E91*2,0)</f>
        <v>1370</v>
      </c>
      <c r="BG91" s="15"/>
      <c r="BH91" s="15">
        <f t="shared" si="124"/>
        <v>138165</v>
      </c>
      <c r="BI91" s="447">
        <f t="shared" si="137"/>
        <v>201.7</v>
      </c>
      <c r="BJ91" s="76">
        <f t="shared" ref="BJ91:BK95" si="142">V91+X91</f>
        <v>103256</v>
      </c>
      <c r="BK91" s="76">
        <f t="shared" si="142"/>
        <v>31183</v>
      </c>
      <c r="BL91" s="76">
        <f>Z91+AB91+AC91+AA91</f>
        <v>0</v>
      </c>
      <c r="BM91" s="76">
        <f>BF91</f>
        <v>1370</v>
      </c>
      <c r="BN91" s="76">
        <f>BE91</f>
        <v>0</v>
      </c>
      <c r="BO91" s="76">
        <f>BG91+AL91+AM91+AN91+AO91+AP91+AQ91+AS91+AT91+AU91+AV91+AW91+AX91+AY91+AZ91+BA91+BB91+BC91+BD91</f>
        <v>2356</v>
      </c>
      <c r="BP91" s="92">
        <f>SUM(BJ91:BO91)</f>
        <v>138165</v>
      </c>
    </row>
    <row r="92" spans="1:68" ht="19.5" customHeight="1">
      <c r="A92" s="789"/>
      <c r="B92" s="849"/>
      <c r="C92" s="849"/>
      <c r="D92" s="157" t="s">
        <v>191</v>
      </c>
      <c r="E92" s="10">
        <v>732</v>
      </c>
      <c r="F92" s="829"/>
      <c r="G92" s="8">
        <f t="shared" si="129"/>
        <v>196.261</v>
      </c>
      <c r="H92" s="8">
        <f t="shared" si="134"/>
        <v>0</v>
      </c>
      <c r="I92" s="8">
        <f t="shared" si="139"/>
        <v>196.261</v>
      </c>
      <c r="J92" s="451">
        <f t="shared" si="132"/>
        <v>2.4079999999999999</v>
      </c>
      <c r="K92" s="8">
        <f t="shared" si="112"/>
        <v>0</v>
      </c>
      <c r="L92" s="8">
        <f t="shared" si="113"/>
        <v>0</v>
      </c>
      <c r="M92" s="8">
        <f t="shared" si="114"/>
        <v>0</v>
      </c>
      <c r="N92" s="11">
        <f t="shared" si="115"/>
        <v>0</v>
      </c>
      <c r="O92" s="11">
        <f>ROUND(BF92/E92,3)</f>
        <v>9</v>
      </c>
      <c r="P92" s="453">
        <f t="shared" si="133"/>
        <v>1.0309999999999999</v>
      </c>
      <c r="Q92" s="8">
        <f t="shared" si="140"/>
        <v>208.7</v>
      </c>
      <c r="R92" s="8">
        <f t="shared" si="116"/>
        <v>0</v>
      </c>
      <c r="S92" s="8">
        <f t="shared" si="117"/>
        <v>0</v>
      </c>
      <c r="T92" s="627">
        <f t="shared" si="141"/>
        <v>208.7</v>
      </c>
      <c r="U92" s="829"/>
      <c r="V92" s="15">
        <v>110340</v>
      </c>
      <c r="W92" s="15">
        <f>ROUND(V92*0.302,0)</f>
        <v>33323</v>
      </c>
      <c r="X92" s="15"/>
      <c r="Y92" s="15"/>
      <c r="Z92" s="15"/>
      <c r="AA92" s="15"/>
      <c r="AB92" s="15"/>
      <c r="AC92" s="15"/>
      <c r="AD92" s="15">
        <v>1259</v>
      </c>
      <c r="AE92" s="15"/>
      <c r="AF92" s="15">
        <v>126</v>
      </c>
      <c r="AG92" s="15">
        <v>378</v>
      </c>
      <c r="AH92" s="15"/>
      <c r="AI92" s="15"/>
      <c r="AJ92" s="15"/>
      <c r="AK92" s="15">
        <v>755</v>
      </c>
      <c r="AL92" s="15">
        <f>SUM(AD92:AK92)</f>
        <v>2518</v>
      </c>
      <c r="AM92" s="15"/>
      <c r="AN92" s="15"/>
      <c r="AO92" s="15"/>
      <c r="AP92" s="15"/>
      <c r="AQ92" s="15"/>
      <c r="AR92" s="827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>
        <f>ROUND(E92*9,0)</f>
        <v>6588</v>
      </c>
      <c r="BG92" s="15"/>
      <c r="BH92" s="15">
        <f t="shared" si="124"/>
        <v>152769</v>
      </c>
      <c r="BI92" s="447">
        <f t="shared" si="137"/>
        <v>208.7</v>
      </c>
      <c r="BJ92" s="76">
        <f t="shared" si="142"/>
        <v>110340</v>
      </c>
      <c r="BK92" s="76">
        <f t="shared" si="142"/>
        <v>33323</v>
      </c>
      <c r="BL92" s="76">
        <f>Z92+AB92+AC92+AA92</f>
        <v>0</v>
      </c>
      <c r="BM92" s="76">
        <f>BF92</f>
        <v>6588</v>
      </c>
      <c r="BN92" s="76">
        <f>BE92</f>
        <v>0</v>
      </c>
      <c r="BO92" s="76">
        <f>BG92+AL92+AM92+AN92+AO92+AP92+AQ92+AS92+AT92+AU92+AV92+AW92+AX92+AY92+AZ92+BA92+BB92+BC92+BD92</f>
        <v>2518</v>
      </c>
      <c r="BP92" s="92">
        <f>SUM(BJ92:BO92)</f>
        <v>152769</v>
      </c>
    </row>
    <row r="93" spans="1:68" ht="19.5" customHeight="1">
      <c r="A93" s="789"/>
      <c r="B93" s="849"/>
      <c r="C93" s="849"/>
      <c r="D93" s="157" t="s">
        <v>192</v>
      </c>
      <c r="E93" s="10">
        <v>593</v>
      </c>
      <c r="F93" s="829"/>
      <c r="G93" s="8">
        <f t="shared" si="129"/>
        <v>196.261</v>
      </c>
      <c r="H93" s="8">
        <f t="shared" si="134"/>
        <v>0</v>
      </c>
      <c r="I93" s="8">
        <f t="shared" si="139"/>
        <v>196.261</v>
      </c>
      <c r="J93" s="451">
        <f t="shared" si="132"/>
        <v>2.4079999999999999</v>
      </c>
      <c r="K93" s="8">
        <f t="shared" si="112"/>
        <v>0</v>
      </c>
      <c r="L93" s="8">
        <f t="shared" si="113"/>
        <v>0</v>
      </c>
      <c r="M93" s="8">
        <f t="shared" si="114"/>
        <v>0</v>
      </c>
      <c r="N93" s="11">
        <f t="shared" si="115"/>
        <v>0</v>
      </c>
      <c r="O93" s="11">
        <f>ROUND(BF93/E93,3)</f>
        <v>20</v>
      </c>
      <c r="P93" s="453">
        <f t="shared" si="133"/>
        <v>1.032</v>
      </c>
      <c r="Q93" s="8">
        <f t="shared" si="140"/>
        <v>219.70099999999999</v>
      </c>
      <c r="R93" s="8">
        <f t="shared" si="116"/>
        <v>0</v>
      </c>
      <c r="S93" s="8">
        <f t="shared" si="117"/>
        <v>0</v>
      </c>
      <c r="T93" s="627">
        <f t="shared" si="141"/>
        <v>219.70099999999999</v>
      </c>
      <c r="U93" s="829"/>
      <c r="V93" s="15">
        <v>89388</v>
      </c>
      <c r="W93" s="15">
        <f>ROUND(V93*0.302,0)</f>
        <v>26995</v>
      </c>
      <c r="X93" s="15"/>
      <c r="Y93" s="15"/>
      <c r="Z93" s="15"/>
      <c r="AA93" s="15"/>
      <c r="AB93" s="15"/>
      <c r="AC93" s="15"/>
      <c r="AD93" s="15">
        <v>1020</v>
      </c>
      <c r="AE93" s="15"/>
      <c r="AF93" s="15">
        <v>102</v>
      </c>
      <c r="AG93" s="15">
        <v>306</v>
      </c>
      <c r="AH93" s="15"/>
      <c r="AI93" s="15"/>
      <c r="AJ93" s="15"/>
      <c r="AK93" s="15">
        <v>612</v>
      </c>
      <c r="AL93" s="15">
        <f>SUM(AD93:AK93)</f>
        <v>2040</v>
      </c>
      <c r="AM93" s="15"/>
      <c r="AN93" s="15"/>
      <c r="AO93" s="15"/>
      <c r="AP93" s="15"/>
      <c r="AQ93" s="15"/>
      <c r="AR93" s="827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>
        <f>ROUND(E93*20,0)</f>
        <v>11860</v>
      </c>
      <c r="BG93" s="15"/>
      <c r="BH93" s="15">
        <f t="shared" si="124"/>
        <v>130283</v>
      </c>
      <c r="BI93" s="447">
        <f t="shared" si="137"/>
        <v>219.7</v>
      </c>
      <c r="BJ93" s="76">
        <f t="shared" si="142"/>
        <v>89388</v>
      </c>
      <c r="BK93" s="76">
        <f t="shared" si="142"/>
        <v>26995</v>
      </c>
      <c r="BL93" s="76">
        <f>Z93+AB93+AC93+AA93</f>
        <v>0</v>
      </c>
      <c r="BM93" s="76">
        <f>BF93</f>
        <v>11860</v>
      </c>
      <c r="BN93" s="76">
        <f>BE93</f>
        <v>0</v>
      </c>
      <c r="BO93" s="76">
        <f>BG93+AL93+AM93+AN93+AO93+AP93+AQ93+AS93+AT93+AU93+AV93+AW93+AX93+AY93+AZ93+BA93+BB93+BC93+BD93</f>
        <v>2040</v>
      </c>
      <c r="BP93" s="92">
        <f>SUM(BJ93:BO93)</f>
        <v>130283</v>
      </c>
    </row>
    <row r="94" spans="1:68" ht="19.5" customHeight="1">
      <c r="A94" s="789"/>
      <c r="B94" s="850"/>
      <c r="C94" s="850"/>
      <c r="D94" s="157" t="s">
        <v>193</v>
      </c>
      <c r="E94" s="10">
        <v>279</v>
      </c>
      <c r="F94" s="829"/>
      <c r="G94" s="8">
        <f t="shared" si="129"/>
        <v>196.262</v>
      </c>
      <c r="H94" s="8">
        <f t="shared" si="134"/>
        <v>0</v>
      </c>
      <c r="I94" s="8">
        <f t="shared" si="139"/>
        <v>196.262</v>
      </c>
      <c r="J94" s="451">
        <f t="shared" si="132"/>
        <v>2.4089999999999998</v>
      </c>
      <c r="K94" s="8">
        <f t="shared" si="112"/>
        <v>0</v>
      </c>
      <c r="L94" s="8">
        <f t="shared" si="113"/>
        <v>0</v>
      </c>
      <c r="M94" s="8">
        <f t="shared" si="114"/>
        <v>0</v>
      </c>
      <c r="N94" s="11">
        <f t="shared" si="115"/>
        <v>0</v>
      </c>
      <c r="O94" s="11">
        <f>ROUND(BF94/E94,3)</f>
        <v>20</v>
      </c>
      <c r="P94" s="453">
        <f t="shared" si="133"/>
        <v>1.032</v>
      </c>
      <c r="Q94" s="8">
        <f t="shared" si="140"/>
        <v>219.703</v>
      </c>
      <c r="R94" s="8">
        <f t="shared" si="116"/>
        <v>0</v>
      </c>
      <c r="S94" s="8">
        <f t="shared" si="117"/>
        <v>0</v>
      </c>
      <c r="T94" s="627">
        <f t="shared" si="141"/>
        <v>219.703</v>
      </c>
      <c r="U94" s="829"/>
      <c r="V94" s="15">
        <v>42056</v>
      </c>
      <c r="W94" s="15">
        <f>ROUND(V94*0.302,0)</f>
        <v>12701</v>
      </c>
      <c r="X94" s="15"/>
      <c r="Y94" s="15"/>
      <c r="Z94" s="15"/>
      <c r="AA94" s="15"/>
      <c r="AB94" s="15"/>
      <c r="AC94" s="15"/>
      <c r="AD94" s="15">
        <v>480</v>
      </c>
      <c r="AE94" s="15"/>
      <c r="AF94" s="15">
        <v>48</v>
      </c>
      <c r="AG94" s="15">
        <v>144</v>
      </c>
      <c r="AH94" s="15"/>
      <c r="AI94" s="15"/>
      <c r="AJ94" s="15"/>
      <c r="AK94" s="15">
        <v>288</v>
      </c>
      <c r="AL94" s="15">
        <f>SUM(AD94:AK94)</f>
        <v>960</v>
      </c>
      <c r="AM94" s="15"/>
      <c r="AN94" s="15"/>
      <c r="AO94" s="15"/>
      <c r="AP94" s="15"/>
      <c r="AQ94" s="15"/>
      <c r="AR94" s="827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>
        <f>ROUND(E94*20,0)</f>
        <v>5580</v>
      </c>
      <c r="BG94" s="15"/>
      <c r="BH94" s="15">
        <f t="shared" si="124"/>
        <v>61297</v>
      </c>
      <c r="BI94" s="447">
        <f t="shared" si="137"/>
        <v>219.7</v>
      </c>
      <c r="BJ94" s="76">
        <f t="shared" si="142"/>
        <v>42056</v>
      </c>
      <c r="BK94" s="76">
        <f t="shared" si="142"/>
        <v>12701</v>
      </c>
      <c r="BL94" s="76">
        <f>Z94+AB94+AC94+AA94</f>
        <v>0</v>
      </c>
      <c r="BM94" s="76">
        <f>BF94</f>
        <v>5580</v>
      </c>
      <c r="BN94" s="76">
        <f>BE94</f>
        <v>0</v>
      </c>
      <c r="BO94" s="76">
        <f>BG94+AL94+AM94+AN94+AO94+AP94+AQ94+AS94+AT94+AU94+AV94+AW94+AX94+AY94+AZ94+BA94+BB94+BC94+BD94</f>
        <v>960</v>
      </c>
      <c r="BP94" s="92">
        <f>SUM(BJ94:BO94)</f>
        <v>61297</v>
      </c>
    </row>
    <row r="95" spans="1:68" ht="60">
      <c r="A95" s="850"/>
      <c r="B95" s="9" t="s">
        <v>198</v>
      </c>
      <c r="C95" s="9" t="s">
        <v>196</v>
      </c>
      <c r="D95" s="157"/>
      <c r="E95" s="10">
        <v>8031</v>
      </c>
      <c r="F95" s="830"/>
      <c r="G95" s="8">
        <f t="shared" si="129"/>
        <v>98.376999999999995</v>
      </c>
      <c r="H95" s="8">
        <f t="shared" si="134"/>
        <v>0</v>
      </c>
      <c r="I95" s="8">
        <f t="shared" si="139"/>
        <v>98.376999999999995</v>
      </c>
      <c r="J95" s="451">
        <f t="shared" si="132"/>
        <v>0.88700000000000001</v>
      </c>
      <c r="K95" s="8">
        <f t="shared" si="112"/>
        <v>0</v>
      </c>
      <c r="L95" s="8">
        <f t="shared" si="113"/>
        <v>0</v>
      </c>
      <c r="M95" s="8">
        <f t="shared" si="114"/>
        <v>0</v>
      </c>
      <c r="N95" s="11">
        <f t="shared" si="115"/>
        <v>0</v>
      </c>
      <c r="O95" s="11">
        <f>ROUND(BF95/E95,3)</f>
        <v>3.633</v>
      </c>
      <c r="P95" s="453">
        <f t="shared" si="133"/>
        <v>0.38900000000000001</v>
      </c>
      <c r="Q95" s="8">
        <f t="shared" si="140"/>
        <v>103.286</v>
      </c>
      <c r="R95" s="8">
        <f t="shared" si="116"/>
        <v>0</v>
      </c>
      <c r="S95" s="8">
        <f t="shared" si="117"/>
        <v>0</v>
      </c>
      <c r="T95" s="627">
        <f t="shared" si="141"/>
        <v>103.286</v>
      </c>
      <c r="U95" s="830"/>
      <c r="V95" s="15">
        <v>606826</v>
      </c>
      <c r="W95" s="15">
        <f>287441-104202</f>
        <v>183239</v>
      </c>
      <c r="X95" s="15"/>
      <c r="Y95" s="15"/>
      <c r="Z95" s="15"/>
      <c r="AA95" s="15"/>
      <c r="AB95" s="15"/>
      <c r="AC95" s="15"/>
      <c r="AD95" s="15">
        <v>5044</v>
      </c>
      <c r="AE95" s="15"/>
      <c r="AF95" s="15">
        <v>520</v>
      </c>
      <c r="AG95" s="15">
        <v>1561</v>
      </c>
      <c r="AH95" s="15"/>
      <c r="AI95" s="15"/>
      <c r="AJ95" s="15"/>
      <c r="AK95" s="15">
        <v>3122</v>
      </c>
      <c r="AL95" s="15">
        <f>SUM(AD95:AK95)</f>
        <v>10247</v>
      </c>
      <c r="AM95" s="15"/>
      <c r="AN95" s="15"/>
      <c r="AO95" s="15"/>
      <c r="AP95" s="15"/>
      <c r="AQ95" s="15"/>
      <c r="AR95" s="828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>
        <f>BF96-BF91-BF92-BF93-BF94</f>
        <v>29177</v>
      </c>
      <c r="BG95" s="15"/>
      <c r="BH95" s="15">
        <f t="shared" si="124"/>
        <v>829489</v>
      </c>
      <c r="BI95" s="447">
        <f t="shared" si="137"/>
        <v>103.29</v>
      </c>
      <c r="BJ95" s="76">
        <f t="shared" si="142"/>
        <v>606826</v>
      </c>
      <c r="BK95" s="76">
        <f t="shared" si="142"/>
        <v>183239</v>
      </c>
      <c r="BL95" s="76">
        <f>Z95+AB95+AC95+AA95</f>
        <v>0</v>
      </c>
      <c r="BM95" s="76">
        <f>BF95</f>
        <v>29177</v>
      </c>
      <c r="BN95" s="76">
        <f>BE95</f>
        <v>0</v>
      </c>
      <c r="BO95" s="76">
        <f>BG95+AL95+AM95+AN95+AO95+AP95+AQ95+AS95+AT95+AU95+AV95+AW95+AX95+AY95+AZ95+BA95+BB95+BC95+BD95</f>
        <v>10247</v>
      </c>
      <c r="BP95" s="92">
        <f>SUM(BJ95:BO95)</f>
        <v>829489</v>
      </c>
    </row>
    <row r="96" spans="1:68" ht="27.75" customHeight="1">
      <c r="A96" s="29" t="s">
        <v>251</v>
      </c>
      <c r="B96" s="29"/>
      <c r="C96" s="29" t="s">
        <v>252</v>
      </c>
      <c r="D96" s="158"/>
      <c r="E96" s="32">
        <v>12608</v>
      </c>
      <c r="F96" s="159"/>
      <c r="G96" s="30">
        <f>ROUND((V96+W96)/E96,3)</f>
        <v>98.295000000000002</v>
      </c>
      <c r="H96" s="30">
        <f t="shared" si="134"/>
        <v>0</v>
      </c>
      <c r="I96" s="30">
        <f t="shared" si="139"/>
        <v>98.295000000000002</v>
      </c>
      <c r="J96" s="30">
        <f>ROUND((AL96-AK96)/E96,2)</f>
        <v>1</v>
      </c>
      <c r="K96" s="30">
        <f t="shared" si="112"/>
        <v>0</v>
      </c>
      <c r="L96" s="30">
        <f t="shared" si="113"/>
        <v>0</v>
      </c>
      <c r="M96" s="30">
        <f t="shared" si="114"/>
        <v>0</v>
      </c>
      <c r="N96" s="33">
        <f t="shared" si="115"/>
        <v>0</v>
      </c>
      <c r="O96" s="33">
        <f>ROUND(BF96/E96,2)</f>
        <v>4.33</v>
      </c>
      <c r="P96" s="33">
        <f t="shared" si="133"/>
        <v>0.435</v>
      </c>
      <c r="Q96" s="30">
        <f t="shared" si="140"/>
        <v>104.06</v>
      </c>
      <c r="R96" s="30">
        <f t="shared" si="116"/>
        <v>0</v>
      </c>
      <c r="S96" s="30">
        <f t="shared" si="117"/>
        <v>0</v>
      </c>
      <c r="T96" s="627">
        <f t="shared" si="141"/>
        <v>104.06</v>
      </c>
      <c r="U96" s="159"/>
      <c r="V96" s="24">
        <f>SUM(V91:V95)</f>
        <v>951866</v>
      </c>
      <c r="W96" s="24">
        <f>SUM(W91:W95)</f>
        <v>287441</v>
      </c>
      <c r="X96" s="24">
        <f t="shared" ref="X96:BG96" si="143">X91+X92+X93+X94+X95</f>
        <v>0</v>
      </c>
      <c r="Y96" s="24">
        <f t="shared" si="143"/>
        <v>0</v>
      </c>
      <c r="Z96" s="24">
        <f t="shared" si="143"/>
        <v>0</v>
      </c>
      <c r="AA96" s="24">
        <f t="shared" si="143"/>
        <v>0</v>
      </c>
      <c r="AB96" s="24">
        <f t="shared" si="143"/>
        <v>0</v>
      </c>
      <c r="AC96" s="24">
        <f t="shared" si="143"/>
        <v>0</v>
      </c>
      <c r="AD96" s="24">
        <f t="shared" si="143"/>
        <v>8981</v>
      </c>
      <c r="AE96" s="24">
        <f t="shared" si="143"/>
        <v>0</v>
      </c>
      <c r="AF96" s="24">
        <f t="shared" si="143"/>
        <v>914</v>
      </c>
      <c r="AG96" s="24">
        <f t="shared" si="143"/>
        <v>2742</v>
      </c>
      <c r="AH96" s="24">
        <f t="shared" si="143"/>
        <v>0</v>
      </c>
      <c r="AI96" s="24">
        <f t="shared" si="143"/>
        <v>0</v>
      </c>
      <c r="AJ96" s="24">
        <f t="shared" si="143"/>
        <v>0</v>
      </c>
      <c r="AK96" s="24">
        <f t="shared" si="143"/>
        <v>5484</v>
      </c>
      <c r="AL96" s="24">
        <f t="shared" si="143"/>
        <v>18121</v>
      </c>
      <c r="AM96" s="24">
        <f t="shared" si="143"/>
        <v>0</v>
      </c>
      <c r="AN96" s="24">
        <f t="shared" si="143"/>
        <v>0</v>
      </c>
      <c r="AO96" s="24">
        <f t="shared" si="143"/>
        <v>0</v>
      </c>
      <c r="AP96" s="24">
        <f t="shared" si="143"/>
        <v>0</v>
      </c>
      <c r="AQ96" s="24">
        <f t="shared" si="143"/>
        <v>0</v>
      </c>
      <c r="AR96" s="307"/>
      <c r="AS96" s="24">
        <f t="shared" si="143"/>
        <v>0</v>
      </c>
      <c r="AT96" s="24">
        <f t="shared" si="143"/>
        <v>0</v>
      </c>
      <c r="AU96" s="24">
        <f t="shared" si="143"/>
        <v>0</v>
      </c>
      <c r="AV96" s="24">
        <f t="shared" si="143"/>
        <v>0</v>
      </c>
      <c r="AW96" s="24">
        <f t="shared" si="143"/>
        <v>0</v>
      </c>
      <c r="AX96" s="24">
        <f t="shared" si="143"/>
        <v>0</v>
      </c>
      <c r="AY96" s="24">
        <f t="shared" si="143"/>
        <v>0</v>
      </c>
      <c r="AZ96" s="24">
        <f t="shared" si="143"/>
        <v>0</v>
      </c>
      <c r="BA96" s="24">
        <f t="shared" si="143"/>
        <v>0</v>
      </c>
      <c r="BB96" s="24">
        <f t="shared" si="143"/>
        <v>0</v>
      </c>
      <c r="BC96" s="24">
        <f t="shared" si="143"/>
        <v>0</v>
      </c>
      <c r="BD96" s="24">
        <f t="shared" si="143"/>
        <v>0</v>
      </c>
      <c r="BE96" s="24">
        <f t="shared" si="143"/>
        <v>0</v>
      </c>
      <c r="BF96" s="24">
        <v>54575</v>
      </c>
      <c r="BG96" s="24">
        <f t="shared" si="143"/>
        <v>0</v>
      </c>
      <c r="BH96" s="24">
        <f t="shared" si="124"/>
        <v>1312003</v>
      </c>
      <c r="BI96" s="447">
        <f>ROUND(BH96/E96,2)</f>
        <v>104.06</v>
      </c>
      <c r="BJ96" s="24">
        <f t="shared" ref="BJ96:BP96" si="144">BJ91+BJ92+BJ93+BJ94+BJ95</f>
        <v>951866</v>
      </c>
      <c r="BK96" s="24">
        <f t="shared" si="144"/>
        <v>287441</v>
      </c>
      <c r="BL96" s="24">
        <f t="shared" si="144"/>
        <v>0</v>
      </c>
      <c r="BM96" s="24">
        <f t="shared" si="144"/>
        <v>54575</v>
      </c>
      <c r="BN96" s="24">
        <f t="shared" si="144"/>
        <v>0</v>
      </c>
      <c r="BO96" s="24">
        <f t="shared" si="144"/>
        <v>18121</v>
      </c>
      <c r="BP96" s="24">
        <f t="shared" si="144"/>
        <v>1312003</v>
      </c>
    </row>
    <row r="97" spans="1:68" ht="18.75" customHeight="1">
      <c r="A97" s="857" t="s">
        <v>194</v>
      </c>
      <c r="B97" s="648" t="s">
        <v>197</v>
      </c>
      <c r="C97" s="648" t="s">
        <v>189</v>
      </c>
      <c r="D97" s="157" t="s">
        <v>190</v>
      </c>
      <c r="E97" s="313">
        <v>685</v>
      </c>
      <c r="F97" s="671" t="s">
        <v>207</v>
      </c>
      <c r="G97" s="8">
        <f t="shared" ref="G97:G119" si="145">ROUND((V97+W97)/E97,3)</f>
        <v>465.69099999999997</v>
      </c>
      <c r="H97" s="8">
        <f t="shared" si="134"/>
        <v>0</v>
      </c>
      <c r="I97" s="8">
        <f t="shared" si="139"/>
        <v>465.69099999999997</v>
      </c>
      <c r="J97" s="451">
        <f>ROUND((AL97-AK97)/E97,3)</f>
        <v>1.7929999999999999</v>
      </c>
      <c r="K97" s="8">
        <f t="shared" si="112"/>
        <v>0</v>
      </c>
      <c r="L97" s="8">
        <f t="shared" si="113"/>
        <v>0</v>
      </c>
      <c r="M97" s="8">
        <f t="shared" si="114"/>
        <v>0</v>
      </c>
      <c r="N97" s="11">
        <f t="shared" si="115"/>
        <v>0</v>
      </c>
      <c r="O97" s="11">
        <f>ROUND(BF97/E97,3)</f>
        <v>2</v>
      </c>
      <c r="P97" s="453">
        <f t="shared" si="133"/>
        <v>0.76800000000000002</v>
      </c>
      <c r="Q97" s="8">
        <f t="shared" si="140"/>
        <v>470.25199999999995</v>
      </c>
      <c r="R97" s="8">
        <f t="shared" si="116"/>
        <v>0</v>
      </c>
      <c r="S97" s="8">
        <f t="shared" si="117"/>
        <v>0</v>
      </c>
      <c r="T97" s="627">
        <f t="shared" si="141"/>
        <v>470.25199999999995</v>
      </c>
      <c r="U97" s="671" t="s">
        <v>207</v>
      </c>
      <c r="V97" s="15">
        <v>245006</v>
      </c>
      <c r="W97" s="15">
        <f>ROUND(V97*0.302,0)</f>
        <v>73992</v>
      </c>
      <c r="X97" s="15"/>
      <c r="Y97" s="15"/>
      <c r="Z97" s="15"/>
      <c r="AA97" s="15"/>
      <c r="AB97" s="15"/>
      <c r="AC97" s="15"/>
      <c r="AD97" s="15">
        <v>877</v>
      </c>
      <c r="AE97" s="15"/>
      <c r="AF97" s="15">
        <v>88</v>
      </c>
      <c r="AG97" s="15">
        <v>263</v>
      </c>
      <c r="AH97" s="15"/>
      <c r="AI97" s="15"/>
      <c r="AJ97" s="15"/>
      <c r="AK97" s="15">
        <v>526</v>
      </c>
      <c r="AL97" s="15">
        <f>SUM(AD97:AK97)</f>
        <v>1754</v>
      </c>
      <c r="AM97" s="15"/>
      <c r="AN97" s="15"/>
      <c r="AO97" s="15"/>
      <c r="AP97" s="15"/>
      <c r="AQ97" s="15"/>
      <c r="AR97" s="705" t="s">
        <v>207</v>
      </c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>
        <f>ROUND(E97*2,0)</f>
        <v>1370</v>
      </c>
      <c r="BG97" s="15"/>
      <c r="BH97" s="15">
        <f t="shared" si="124"/>
        <v>322122</v>
      </c>
      <c r="BI97" s="447">
        <f t="shared" si="137"/>
        <v>470.25</v>
      </c>
      <c r="BJ97" s="76">
        <f t="shared" ref="BJ97:BK101" si="146">V97+X97</f>
        <v>245006</v>
      </c>
      <c r="BK97" s="76">
        <f t="shared" si="146"/>
        <v>73992</v>
      </c>
      <c r="BL97" s="76">
        <f>Z97+AB97+AC97+AA97</f>
        <v>0</v>
      </c>
      <c r="BM97" s="76">
        <f>BF97</f>
        <v>1370</v>
      </c>
      <c r="BN97" s="76">
        <f>BE97</f>
        <v>0</v>
      </c>
      <c r="BO97" s="76">
        <f>BG97+AL97+AM97+AN97+AO97+AP97+AQ97+AS97+AT97+AU97+AV97+AW97+AX97+AY97+AZ97+BA97+BB97+BC97+BD97</f>
        <v>1754</v>
      </c>
      <c r="BP97" s="92">
        <f>SUM(BJ97:BO97)</f>
        <v>322122</v>
      </c>
    </row>
    <row r="98" spans="1:68" ht="18.75" customHeight="1">
      <c r="A98" s="858"/>
      <c r="B98" s="849"/>
      <c r="C98" s="849"/>
      <c r="D98" s="157" t="s">
        <v>191</v>
      </c>
      <c r="E98" s="313">
        <v>732</v>
      </c>
      <c r="F98" s="829"/>
      <c r="G98" s="8">
        <f t="shared" si="145"/>
        <v>465.68900000000002</v>
      </c>
      <c r="H98" s="8">
        <f>ROUND((X98+Y98)/E98,2)</f>
        <v>0</v>
      </c>
      <c r="I98" s="8">
        <f>G98+H98</f>
        <v>465.68900000000002</v>
      </c>
      <c r="J98" s="451">
        <f>ROUND((AL98-AK98)/E98,3)</f>
        <v>1.792</v>
      </c>
      <c r="K98" s="8">
        <f>ROUND((AM98+AN98+AO98+AP98+AQ98)/E98,2)</f>
        <v>0</v>
      </c>
      <c r="L98" s="8">
        <f>ROUND((AS98+AT98+AU98+AV98+AW98)/E98,2)</f>
        <v>0</v>
      </c>
      <c r="M98" s="8">
        <f>ROUND((AZ98+BA98)/E98,2)</f>
        <v>0</v>
      </c>
      <c r="N98" s="11">
        <f>ROUND(BE98/E98,2)</f>
        <v>0</v>
      </c>
      <c r="O98" s="11">
        <f>ROUND(BF98/E98,3)</f>
        <v>9</v>
      </c>
      <c r="P98" s="453">
        <f t="shared" si="133"/>
        <v>0.76800000000000002</v>
      </c>
      <c r="Q98" s="8">
        <f>P98+O98+N98+M98+L98+K98+J98+I98</f>
        <v>477.24900000000002</v>
      </c>
      <c r="R98" s="8">
        <f>ROUND((Z98+AB98+AC98+AA98)/E98,2)</f>
        <v>0</v>
      </c>
      <c r="S98" s="8">
        <f>ROUND(AX98/E98,2)</f>
        <v>0</v>
      </c>
      <c r="T98" s="627">
        <f>Q98+R98+S98</f>
        <v>477.24900000000002</v>
      </c>
      <c r="U98" s="829"/>
      <c r="V98" s="15">
        <v>261816</v>
      </c>
      <c r="W98" s="15">
        <f>ROUND(V98*0.302,0)</f>
        <v>79068</v>
      </c>
      <c r="X98" s="15"/>
      <c r="Y98" s="15"/>
      <c r="Z98" s="15"/>
      <c r="AA98" s="15"/>
      <c r="AB98" s="15"/>
      <c r="AC98" s="15"/>
      <c r="AD98" s="15">
        <v>937</v>
      </c>
      <c r="AE98" s="15"/>
      <c r="AF98" s="15">
        <v>94</v>
      </c>
      <c r="AG98" s="15">
        <v>281</v>
      </c>
      <c r="AH98" s="15"/>
      <c r="AI98" s="15"/>
      <c r="AJ98" s="15"/>
      <c r="AK98" s="15">
        <v>562</v>
      </c>
      <c r="AL98" s="15">
        <f t="shared" ref="AL98:AL131" si="147">SUM(AD98:AK98)</f>
        <v>1874</v>
      </c>
      <c r="AM98" s="15"/>
      <c r="AN98" s="15"/>
      <c r="AO98" s="15"/>
      <c r="AP98" s="15"/>
      <c r="AQ98" s="15"/>
      <c r="AR98" s="827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>
        <f>ROUND(E98*9,0)</f>
        <v>6588</v>
      </c>
      <c r="BG98" s="15"/>
      <c r="BH98" s="15">
        <f t="shared" si="124"/>
        <v>349346</v>
      </c>
      <c r="BI98" s="447">
        <f t="shared" si="137"/>
        <v>477.25</v>
      </c>
      <c r="BJ98" s="76">
        <f t="shared" si="146"/>
        <v>261816</v>
      </c>
      <c r="BK98" s="76">
        <f t="shared" si="146"/>
        <v>79068</v>
      </c>
      <c r="BL98" s="76">
        <f>Z98+AB98+AC98+AA98</f>
        <v>0</v>
      </c>
      <c r="BM98" s="76">
        <f>BF98</f>
        <v>6588</v>
      </c>
      <c r="BN98" s="76">
        <f>BE98</f>
        <v>0</v>
      </c>
      <c r="BO98" s="76">
        <f>BG98+AL98+AM98+AN98+AO98+AP98+AQ98+AS98+AT98+AU98+AV98+AW98+AX98+AY98+AZ98+BA98+BB98+BC98+BD98</f>
        <v>1874</v>
      </c>
      <c r="BP98" s="92">
        <f>SUM(BJ98:BO98)</f>
        <v>349346</v>
      </c>
    </row>
    <row r="99" spans="1:68" ht="18.75" customHeight="1">
      <c r="A99" s="858"/>
      <c r="B99" s="849"/>
      <c r="C99" s="849"/>
      <c r="D99" s="157" t="s">
        <v>192</v>
      </c>
      <c r="E99" s="313">
        <v>593</v>
      </c>
      <c r="F99" s="829"/>
      <c r="G99" s="8">
        <f t="shared" si="145"/>
        <v>465.69299999999998</v>
      </c>
      <c r="H99" s="8">
        <f t="shared" ref="H99:H128" si="148">ROUND((X99+Y99)/E99,2)</f>
        <v>0</v>
      </c>
      <c r="I99" s="8">
        <f t="shared" si="139"/>
        <v>465.69299999999998</v>
      </c>
      <c r="J99" s="451">
        <f>ROUND((AL99-AK99)/E99,3)</f>
        <v>1.7929999999999999</v>
      </c>
      <c r="K99" s="8">
        <f t="shared" ref="K99:K128" si="149">ROUND((AM99+AN99+AO99+AP99+AQ99)/E99,2)</f>
        <v>0</v>
      </c>
      <c r="L99" s="8">
        <f t="shared" ref="L99:L133" si="150">ROUND((AS99+AT99+AU99+AV99+AW99)/E99,2)</f>
        <v>0</v>
      </c>
      <c r="M99" s="8">
        <f t="shared" ref="M99:M146" si="151">ROUND((AZ99+BA99)/E99,2)</f>
        <v>0</v>
      </c>
      <c r="N99" s="11">
        <f t="shared" ref="N99:N146" si="152">ROUND(BE99/E99,2)</f>
        <v>0</v>
      </c>
      <c r="O99" s="11">
        <f>ROUND(BF99/E99,3)</f>
        <v>20</v>
      </c>
      <c r="P99" s="453">
        <f t="shared" si="133"/>
        <v>0.76700000000000002</v>
      </c>
      <c r="Q99" s="8">
        <f t="shared" si="140"/>
        <v>488.25299999999999</v>
      </c>
      <c r="R99" s="8">
        <f t="shared" ref="R99:R126" si="153">ROUND((Z99+AB99+AC99+AA99)/E99,2)</f>
        <v>0</v>
      </c>
      <c r="S99" s="8">
        <f t="shared" ref="S99:S146" si="154">ROUND(AX99/E99,2)</f>
        <v>0</v>
      </c>
      <c r="T99" s="627">
        <f t="shared" si="141"/>
        <v>488.25299999999999</v>
      </c>
      <c r="U99" s="829"/>
      <c r="V99" s="15">
        <v>212101</v>
      </c>
      <c r="W99" s="15">
        <f>ROUND(V99*0.302,0)</f>
        <v>64055</v>
      </c>
      <c r="X99" s="15"/>
      <c r="Y99" s="15"/>
      <c r="Z99" s="15"/>
      <c r="AA99" s="15"/>
      <c r="AB99" s="15"/>
      <c r="AC99" s="15"/>
      <c r="AD99" s="15">
        <v>759</v>
      </c>
      <c r="AE99" s="15"/>
      <c r="AF99" s="15">
        <v>76</v>
      </c>
      <c r="AG99" s="15">
        <v>228</v>
      </c>
      <c r="AH99" s="15"/>
      <c r="AI99" s="15"/>
      <c r="AJ99" s="15"/>
      <c r="AK99" s="15">
        <v>455</v>
      </c>
      <c r="AL99" s="15">
        <f t="shared" si="147"/>
        <v>1518</v>
      </c>
      <c r="AM99" s="15"/>
      <c r="AN99" s="15"/>
      <c r="AO99" s="15"/>
      <c r="AP99" s="15"/>
      <c r="AQ99" s="15"/>
      <c r="AR99" s="827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>
        <f>ROUND(E99*20,0)</f>
        <v>11860</v>
      </c>
      <c r="BG99" s="15"/>
      <c r="BH99" s="15">
        <f t="shared" si="124"/>
        <v>289534</v>
      </c>
      <c r="BI99" s="447">
        <f t="shared" si="137"/>
        <v>488.25</v>
      </c>
      <c r="BJ99" s="76">
        <f t="shared" si="146"/>
        <v>212101</v>
      </c>
      <c r="BK99" s="76">
        <f t="shared" si="146"/>
        <v>64055</v>
      </c>
      <c r="BL99" s="76">
        <f>Z99+AB99+AC99+AA99</f>
        <v>0</v>
      </c>
      <c r="BM99" s="76">
        <f>BF99</f>
        <v>11860</v>
      </c>
      <c r="BN99" s="76">
        <f>BE99</f>
        <v>0</v>
      </c>
      <c r="BO99" s="76">
        <f>BG99+AL99+AM99+AN99+AO99+AP99+AQ99+AS99+AT99+AU99+AV99+AW99+AX99+AY99+AZ99+BA99+BB99+BC99+BD99</f>
        <v>1518</v>
      </c>
      <c r="BP99" s="92">
        <f>SUM(BJ99:BO99)</f>
        <v>289534</v>
      </c>
    </row>
    <row r="100" spans="1:68" ht="18.75" customHeight="1">
      <c r="A100" s="858"/>
      <c r="B100" s="850"/>
      <c r="C100" s="850"/>
      <c r="D100" s="157" t="s">
        <v>193</v>
      </c>
      <c r="E100" s="313">
        <v>140</v>
      </c>
      <c r="F100" s="829"/>
      <c r="G100" s="8">
        <f t="shared" si="145"/>
        <v>465.68599999999998</v>
      </c>
      <c r="H100" s="8">
        <f t="shared" si="148"/>
        <v>0</v>
      </c>
      <c r="I100" s="8">
        <f t="shared" si="139"/>
        <v>465.68599999999998</v>
      </c>
      <c r="J100" s="451">
        <f>ROUND((AL100-AK100)/E100,3)</f>
        <v>1.7929999999999999</v>
      </c>
      <c r="K100" s="8">
        <f t="shared" si="149"/>
        <v>0</v>
      </c>
      <c r="L100" s="8">
        <f t="shared" si="150"/>
        <v>0</v>
      </c>
      <c r="M100" s="8">
        <f t="shared" si="151"/>
        <v>0</v>
      </c>
      <c r="N100" s="11">
        <f t="shared" si="152"/>
        <v>0</v>
      </c>
      <c r="O100" s="11">
        <f>ROUND(BF100/E100,3)</f>
        <v>20</v>
      </c>
      <c r="P100" s="453">
        <f t="shared" si="133"/>
        <v>0.76400000000000001</v>
      </c>
      <c r="Q100" s="8">
        <f t="shared" si="140"/>
        <v>488.24299999999999</v>
      </c>
      <c r="R100" s="8">
        <f t="shared" si="153"/>
        <v>0</v>
      </c>
      <c r="S100" s="8">
        <f t="shared" si="154"/>
        <v>0</v>
      </c>
      <c r="T100" s="627">
        <f t="shared" si="141"/>
        <v>488.24299999999999</v>
      </c>
      <c r="U100" s="829"/>
      <c r="V100" s="15">
        <v>50074</v>
      </c>
      <c r="W100" s="15">
        <f>ROUND(V100*0.302,0)</f>
        <v>15122</v>
      </c>
      <c r="X100" s="15"/>
      <c r="Y100" s="15"/>
      <c r="Z100" s="15"/>
      <c r="AA100" s="15"/>
      <c r="AB100" s="15"/>
      <c r="AC100" s="15"/>
      <c r="AD100" s="15">
        <v>179</v>
      </c>
      <c r="AE100" s="15"/>
      <c r="AF100" s="15">
        <v>18</v>
      </c>
      <c r="AG100" s="15">
        <v>54</v>
      </c>
      <c r="AH100" s="15"/>
      <c r="AI100" s="15"/>
      <c r="AJ100" s="15"/>
      <c r="AK100" s="15">
        <v>107</v>
      </c>
      <c r="AL100" s="15">
        <f t="shared" si="147"/>
        <v>358</v>
      </c>
      <c r="AM100" s="15"/>
      <c r="AN100" s="15"/>
      <c r="AO100" s="15"/>
      <c r="AP100" s="15"/>
      <c r="AQ100" s="15"/>
      <c r="AR100" s="827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>
        <f>ROUND(E100*20,0)</f>
        <v>2800</v>
      </c>
      <c r="BG100" s="15"/>
      <c r="BH100" s="15">
        <f t="shared" si="124"/>
        <v>68354</v>
      </c>
      <c r="BI100" s="447">
        <f t="shared" si="137"/>
        <v>488.24</v>
      </c>
      <c r="BJ100" s="76">
        <f t="shared" si="146"/>
        <v>50074</v>
      </c>
      <c r="BK100" s="76">
        <f t="shared" si="146"/>
        <v>15122</v>
      </c>
      <c r="BL100" s="76">
        <f>Z100+AB100+AC100+AA100</f>
        <v>0</v>
      </c>
      <c r="BM100" s="76">
        <f>BF100</f>
        <v>2800</v>
      </c>
      <c r="BN100" s="76">
        <f>BE100</f>
        <v>0</v>
      </c>
      <c r="BO100" s="76">
        <f>BG100+AL100+AM100+AN100+AO100+AP100+AQ100+AS100+AT100+AU100+AV100+AW100+AX100+AY100+AZ100+BA100+BB100+BC100+BD100</f>
        <v>358</v>
      </c>
      <c r="BP100" s="92">
        <f>SUM(BJ100:BO100)</f>
        <v>68354</v>
      </c>
    </row>
    <row r="101" spans="1:68" ht="60">
      <c r="A101" s="859"/>
      <c r="B101" s="9" t="s">
        <v>198</v>
      </c>
      <c r="C101" s="9" t="s">
        <v>196</v>
      </c>
      <c r="D101" s="157"/>
      <c r="E101" s="313">
        <v>7541</v>
      </c>
      <c r="F101" s="830"/>
      <c r="G101" s="8">
        <f t="shared" si="145"/>
        <v>233.68299999999999</v>
      </c>
      <c r="H101" s="8">
        <f t="shared" si="148"/>
        <v>0</v>
      </c>
      <c r="I101" s="8">
        <f t="shared" si="139"/>
        <v>233.68299999999999</v>
      </c>
      <c r="J101" s="451">
        <f>ROUND((AL101-AK101)/E101,3)</f>
        <v>0.66100000000000003</v>
      </c>
      <c r="K101" s="8">
        <f t="shared" si="149"/>
        <v>0</v>
      </c>
      <c r="L101" s="8">
        <f t="shared" si="150"/>
        <v>0</v>
      </c>
      <c r="M101" s="8">
        <f t="shared" si="151"/>
        <v>0</v>
      </c>
      <c r="N101" s="11">
        <f t="shared" si="152"/>
        <v>0</v>
      </c>
      <c r="O101" s="11">
        <f>ROUND(BF101/E101,3)</f>
        <v>4.2380000000000004</v>
      </c>
      <c r="P101" s="453">
        <f t="shared" si="133"/>
        <v>0.28999999999999998</v>
      </c>
      <c r="Q101" s="8">
        <f t="shared" si="140"/>
        <v>238.87199999999999</v>
      </c>
      <c r="R101" s="8">
        <f t="shared" si="153"/>
        <v>0</v>
      </c>
      <c r="S101" s="8">
        <f t="shared" si="154"/>
        <v>0</v>
      </c>
      <c r="T101" s="627">
        <f t="shared" si="141"/>
        <v>238.87199999999999</v>
      </c>
      <c r="U101" s="830"/>
      <c r="V101" s="15">
        <v>1353434</v>
      </c>
      <c r="W101" s="15">
        <f>641006-232237</f>
        <v>408769</v>
      </c>
      <c r="X101" s="15"/>
      <c r="Y101" s="15"/>
      <c r="Z101" s="15"/>
      <c r="AA101" s="15"/>
      <c r="AB101" s="15"/>
      <c r="AC101" s="15"/>
      <c r="AD101" s="15">
        <v>3529</v>
      </c>
      <c r="AE101" s="15"/>
      <c r="AF101" s="15">
        <v>364</v>
      </c>
      <c r="AG101" s="15">
        <v>1092</v>
      </c>
      <c r="AH101" s="15"/>
      <c r="AI101" s="15"/>
      <c r="AJ101" s="15"/>
      <c r="AK101" s="15">
        <v>2184</v>
      </c>
      <c r="AL101" s="15">
        <f t="shared" si="147"/>
        <v>7169</v>
      </c>
      <c r="AM101" s="15"/>
      <c r="AN101" s="15"/>
      <c r="AO101" s="15"/>
      <c r="AP101" s="15"/>
      <c r="AQ101" s="15"/>
      <c r="AR101" s="828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>
        <f>BF102-BF97-BF98-BF99-BF100</f>
        <v>31957</v>
      </c>
      <c r="BG101" s="15"/>
      <c r="BH101" s="15">
        <f t="shared" si="124"/>
        <v>1801329</v>
      </c>
      <c r="BI101" s="447">
        <f t="shared" si="137"/>
        <v>238.87</v>
      </c>
      <c r="BJ101" s="76">
        <f t="shared" si="146"/>
        <v>1353434</v>
      </c>
      <c r="BK101" s="76">
        <f t="shared" si="146"/>
        <v>408769</v>
      </c>
      <c r="BL101" s="76">
        <f>Z101+AB101+AC101+AA101</f>
        <v>0</v>
      </c>
      <c r="BM101" s="76">
        <f>BF101</f>
        <v>31957</v>
      </c>
      <c r="BN101" s="76">
        <f>BE101</f>
        <v>0</v>
      </c>
      <c r="BO101" s="76">
        <f>BG101+AL101+AM101+AN101+AO101+AP101+AQ101+AS101+AT101+AU101+AV101+AW101+AX101+AY101+AZ101+BA101+BB101+BC101+BD101</f>
        <v>7169</v>
      </c>
      <c r="BP101" s="92">
        <f>SUM(BJ101:BO101)</f>
        <v>1801329</v>
      </c>
    </row>
    <row r="102" spans="1:68" ht="27.75" customHeight="1">
      <c r="A102" s="109" t="s">
        <v>251</v>
      </c>
      <c r="B102" s="29"/>
      <c r="C102" s="29" t="s">
        <v>252</v>
      </c>
      <c r="D102" s="158"/>
      <c r="E102" s="32">
        <v>11839</v>
      </c>
      <c r="F102" s="159"/>
      <c r="G102" s="30">
        <f t="shared" si="145"/>
        <v>233.41800000000001</v>
      </c>
      <c r="H102" s="30">
        <f t="shared" si="148"/>
        <v>0</v>
      </c>
      <c r="I102" s="30">
        <f t="shared" si="139"/>
        <v>233.41800000000001</v>
      </c>
      <c r="J102" s="30">
        <f>ROUND((AL102-AK102)/E102,2)</f>
        <v>0.75</v>
      </c>
      <c r="K102" s="30">
        <f t="shared" si="149"/>
        <v>0</v>
      </c>
      <c r="L102" s="30">
        <f t="shared" si="150"/>
        <v>0</v>
      </c>
      <c r="M102" s="30">
        <f t="shared" si="151"/>
        <v>0</v>
      </c>
      <c r="N102" s="33">
        <f t="shared" si="152"/>
        <v>0</v>
      </c>
      <c r="O102" s="33">
        <f t="shared" ref="O102:O124" si="155">ROUND(BF102/E102,2)</f>
        <v>4.6100000000000003</v>
      </c>
      <c r="P102" s="33">
        <f t="shared" si="133"/>
        <v>0.32400000000000001</v>
      </c>
      <c r="Q102" s="30">
        <f t="shared" si="140"/>
        <v>239.102</v>
      </c>
      <c r="R102" s="30">
        <f t="shared" si="153"/>
        <v>0</v>
      </c>
      <c r="S102" s="30">
        <f t="shared" si="154"/>
        <v>0</v>
      </c>
      <c r="T102" s="627">
        <f t="shared" si="141"/>
        <v>239.102</v>
      </c>
      <c r="U102" s="159"/>
      <c r="V102" s="24">
        <f>SUM(V97:V101)</f>
        <v>2122431</v>
      </c>
      <c r="W102" s="24">
        <f>SUM(W97:W101)</f>
        <v>641006</v>
      </c>
      <c r="X102" s="24">
        <f t="shared" ref="X102:BE102" si="156">X97+X98+X99+X100+X101</f>
        <v>0</v>
      </c>
      <c r="Y102" s="24">
        <f t="shared" si="156"/>
        <v>0</v>
      </c>
      <c r="Z102" s="24">
        <f t="shared" si="156"/>
        <v>0</v>
      </c>
      <c r="AA102" s="24">
        <f t="shared" si="156"/>
        <v>0</v>
      </c>
      <c r="AB102" s="24">
        <f t="shared" si="156"/>
        <v>0</v>
      </c>
      <c r="AC102" s="24">
        <f t="shared" si="156"/>
        <v>0</v>
      </c>
      <c r="AD102" s="24">
        <f>SUM(AD97:AD101)</f>
        <v>6281</v>
      </c>
      <c r="AE102" s="24">
        <f t="shared" ref="AE102:AL102" si="157">SUM(AE97:AE101)</f>
        <v>0</v>
      </c>
      <c r="AF102" s="24">
        <f t="shared" si="157"/>
        <v>640</v>
      </c>
      <c r="AG102" s="24">
        <f t="shared" si="157"/>
        <v>1918</v>
      </c>
      <c r="AH102" s="24">
        <f t="shared" si="157"/>
        <v>0</v>
      </c>
      <c r="AI102" s="24">
        <f t="shared" si="157"/>
        <v>0</v>
      </c>
      <c r="AJ102" s="24">
        <f t="shared" si="157"/>
        <v>0</v>
      </c>
      <c r="AK102" s="24">
        <f t="shared" si="157"/>
        <v>3834</v>
      </c>
      <c r="AL102" s="24">
        <f t="shared" si="157"/>
        <v>12673</v>
      </c>
      <c r="AM102" s="24">
        <f t="shared" si="156"/>
        <v>0</v>
      </c>
      <c r="AN102" s="24">
        <f t="shared" si="156"/>
        <v>0</v>
      </c>
      <c r="AO102" s="24">
        <f t="shared" si="156"/>
        <v>0</v>
      </c>
      <c r="AP102" s="24">
        <f t="shared" si="156"/>
        <v>0</v>
      </c>
      <c r="AQ102" s="24">
        <f t="shared" si="156"/>
        <v>0</v>
      </c>
      <c r="AR102" s="24"/>
      <c r="AS102" s="24">
        <f t="shared" si="156"/>
        <v>0</v>
      </c>
      <c r="AT102" s="24">
        <f t="shared" si="156"/>
        <v>0</v>
      </c>
      <c r="AU102" s="24">
        <f t="shared" si="156"/>
        <v>0</v>
      </c>
      <c r="AV102" s="24">
        <f t="shared" si="156"/>
        <v>0</v>
      </c>
      <c r="AW102" s="24">
        <f t="shared" si="156"/>
        <v>0</v>
      </c>
      <c r="AX102" s="24">
        <f t="shared" si="156"/>
        <v>0</v>
      </c>
      <c r="AY102" s="24">
        <f t="shared" si="156"/>
        <v>0</v>
      </c>
      <c r="AZ102" s="24">
        <f t="shared" si="156"/>
        <v>0</v>
      </c>
      <c r="BA102" s="24">
        <f t="shared" si="156"/>
        <v>0</v>
      </c>
      <c r="BB102" s="24">
        <f t="shared" si="156"/>
        <v>0</v>
      </c>
      <c r="BC102" s="24">
        <f t="shared" si="156"/>
        <v>0</v>
      </c>
      <c r="BD102" s="24">
        <f t="shared" si="156"/>
        <v>0</v>
      </c>
      <c r="BE102" s="24">
        <f t="shared" si="156"/>
        <v>0</v>
      </c>
      <c r="BF102" s="24">
        <v>54575</v>
      </c>
      <c r="BG102" s="24">
        <f>BG97+BG98+BG99+BG100+BG101</f>
        <v>0</v>
      </c>
      <c r="BH102" s="24">
        <f>BH97+BH98+BH99+BH100+BH101</f>
        <v>2830685</v>
      </c>
      <c r="BI102" s="447">
        <f t="shared" si="137"/>
        <v>239.1</v>
      </c>
      <c r="BJ102" s="24">
        <f t="shared" ref="BJ102:BP102" si="158">BJ97+BJ98+BJ99+BJ100+BJ101</f>
        <v>2122431</v>
      </c>
      <c r="BK102" s="24">
        <f t="shared" si="158"/>
        <v>641006</v>
      </c>
      <c r="BL102" s="24">
        <f t="shared" si="158"/>
        <v>0</v>
      </c>
      <c r="BM102" s="24">
        <f t="shared" si="158"/>
        <v>54575</v>
      </c>
      <c r="BN102" s="24">
        <f t="shared" si="158"/>
        <v>0</v>
      </c>
      <c r="BO102" s="24">
        <f t="shared" si="158"/>
        <v>12673</v>
      </c>
      <c r="BP102" s="24">
        <f t="shared" si="158"/>
        <v>2830685</v>
      </c>
    </row>
    <row r="103" spans="1:68" ht="17.25" customHeight="1">
      <c r="A103" s="857" t="s">
        <v>194</v>
      </c>
      <c r="B103" s="648" t="s">
        <v>197</v>
      </c>
      <c r="C103" s="648" t="s">
        <v>189</v>
      </c>
      <c r="D103" s="157" t="s">
        <v>190</v>
      </c>
      <c r="E103" s="10">
        <v>614</v>
      </c>
      <c r="F103" s="671" t="s">
        <v>208</v>
      </c>
      <c r="G103" s="8">
        <f t="shared" si="145"/>
        <v>414.46899999999999</v>
      </c>
      <c r="H103" s="8">
        <f t="shared" si="148"/>
        <v>0</v>
      </c>
      <c r="I103" s="8">
        <f t="shared" ref="I103:I114" si="159">G103+H103</f>
        <v>414.46899999999999</v>
      </c>
      <c r="J103" s="451">
        <f>ROUND((AL103-AK103)/E103,3)</f>
        <v>2</v>
      </c>
      <c r="K103" s="8">
        <f t="shared" si="149"/>
        <v>0</v>
      </c>
      <c r="L103" s="8">
        <f t="shared" si="150"/>
        <v>0</v>
      </c>
      <c r="M103" s="8">
        <f t="shared" si="151"/>
        <v>0</v>
      </c>
      <c r="N103" s="11">
        <f t="shared" si="152"/>
        <v>0</v>
      </c>
      <c r="O103" s="11">
        <f t="shared" si="155"/>
        <v>2</v>
      </c>
      <c r="P103" s="453">
        <f t="shared" si="133"/>
        <v>0.85699999999999998</v>
      </c>
      <c r="Q103" s="8">
        <f t="shared" ref="Q103:Q114" si="160">P103+O103+N103+M103+L103+K103+J103+I103</f>
        <v>419.32600000000002</v>
      </c>
      <c r="R103" s="8">
        <f t="shared" si="153"/>
        <v>0</v>
      </c>
      <c r="S103" s="8">
        <f t="shared" si="154"/>
        <v>0</v>
      </c>
      <c r="T103" s="627">
        <f t="shared" si="141"/>
        <v>419.32600000000002</v>
      </c>
      <c r="U103" s="671" t="s">
        <v>208</v>
      </c>
      <c r="V103" s="15">
        <v>195456</v>
      </c>
      <c r="W103" s="15">
        <f>ROUND(V103*0.302,0)</f>
        <v>59028</v>
      </c>
      <c r="X103" s="15"/>
      <c r="Y103" s="15"/>
      <c r="Z103" s="15"/>
      <c r="AA103" s="15"/>
      <c r="AB103" s="15"/>
      <c r="AC103" s="15"/>
      <c r="AD103" s="15">
        <v>877</v>
      </c>
      <c r="AE103" s="15"/>
      <c r="AF103" s="15">
        <v>88</v>
      </c>
      <c r="AG103" s="15">
        <v>263</v>
      </c>
      <c r="AH103" s="15"/>
      <c r="AI103" s="15"/>
      <c r="AJ103" s="15"/>
      <c r="AK103" s="15">
        <v>526</v>
      </c>
      <c r="AL103" s="15">
        <f t="shared" si="147"/>
        <v>1754</v>
      </c>
      <c r="AM103" s="15"/>
      <c r="AN103" s="15"/>
      <c r="AO103" s="15"/>
      <c r="AP103" s="15"/>
      <c r="AQ103" s="15"/>
      <c r="AR103" s="705" t="s">
        <v>208</v>
      </c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>
        <f>ROUND(E103*2,0)</f>
        <v>1228</v>
      </c>
      <c r="BG103" s="15"/>
      <c r="BH103" s="15">
        <f t="shared" si="124"/>
        <v>257466</v>
      </c>
      <c r="BI103" s="447">
        <f t="shared" si="137"/>
        <v>419.33</v>
      </c>
      <c r="BJ103" s="76">
        <f t="shared" ref="BJ103:BK107" si="161">V103+X103</f>
        <v>195456</v>
      </c>
      <c r="BK103" s="76">
        <f t="shared" si="161"/>
        <v>59028</v>
      </c>
      <c r="BL103" s="76">
        <f>Z103+AB103+AC103+AA103</f>
        <v>0</v>
      </c>
      <c r="BM103" s="76">
        <f>BF103</f>
        <v>1228</v>
      </c>
      <c r="BN103" s="76">
        <f>BE103</f>
        <v>0</v>
      </c>
      <c r="BO103" s="76">
        <f>BG103+AL103+AM103+AN103+AO103+AP103+AQ103+AS103+AT103+AU103+AV103+AW103+AX103+AY103+AZ103+BA103+BB103+BC103+BD103</f>
        <v>1754</v>
      </c>
      <c r="BP103" s="92">
        <f>SUM(BJ103:BO103)</f>
        <v>257466</v>
      </c>
    </row>
    <row r="104" spans="1:68" ht="17.25" customHeight="1">
      <c r="A104" s="858"/>
      <c r="B104" s="849"/>
      <c r="C104" s="849"/>
      <c r="D104" s="157" t="s">
        <v>191</v>
      </c>
      <c r="E104" s="10">
        <v>300</v>
      </c>
      <c r="F104" s="829"/>
      <c r="G104" s="8">
        <f t="shared" si="145"/>
        <v>453.24</v>
      </c>
      <c r="H104" s="8">
        <f t="shared" si="148"/>
        <v>0</v>
      </c>
      <c r="I104" s="8">
        <f t="shared" si="159"/>
        <v>453.24</v>
      </c>
      <c r="J104" s="451">
        <f>ROUND((AL104-AK104)/E104,3)</f>
        <v>2.1869999999999998</v>
      </c>
      <c r="K104" s="8">
        <f t="shared" si="149"/>
        <v>0</v>
      </c>
      <c r="L104" s="8">
        <f t="shared" si="150"/>
        <v>0</v>
      </c>
      <c r="M104" s="8">
        <f t="shared" si="151"/>
        <v>0</v>
      </c>
      <c r="N104" s="11">
        <f t="shared" si="152"/>
        <v>0</v>
      </c>
      <c r="O104" s="11">
        <f t="shared" si="155"/>
        <v>9</v>
      </c>
      <c r="P104" s="453">
        <f t="shared" si="133"/>
        <v>0.93700000000000006</v>
      </c>
      <c r="Q104" s="8">
        <f t="shared" si="160"/>
        <v>465.36400000000003</v>
      </c>
      <c r="R104" s="8">
        <f t="shared" si="153"/>
        <v>0</v>
      </c>
      <c r="S104" s="8">
        <f t="shared" si="154"/>
        <v>0</v>
      </c>
      <c r="T104" s="627">
        <f t="shared" si="141"/>
        <v>465.36400000000003</v>
      </c>
      <c r="U104" s="829"/>
      <c r="V104" s="15">
        <v>104433</v>
      </c>
      <c r="W104" s="15">
        <f>ROUND(V104*0.302,0)</f>
        <v>31539</v>
      </c>
      <c r="X104" s="15"/>
      <c r="Y104" s="15"/>
      <c r="Z104" s="15"/>
      <c r="AA104" s="15"/>
      <c r="AB104" s="15"/>
      <c r="AC104" s="15"/>
      <c r="AD104" s="15">
        <v>468</v>
      </c>
      <c r="AE104" s="15"/>
      <c r="AF104" s="15">
        <v>47</v>
      </c>
      <c r="AG104" s="15">
        <v>141</v>
      </c>
      <c r="AH104" s="15"/>
      <c r="AI104" s="15"/>
      <c r="AJ104" s="15"/>
      <c r="AK104" s="15">
        <v>281</v>
      </c>
      <c r="AL104" s="15">
        <f t="shared" si="147"/>
        <v>937</v>
      </c>
      <c r="AM104" s="15"/>
      <c r="AN104" s="15"/>
      <c r="AO104" s="15"/>
      <c r="AP104" s="15"/>
      <c r="AQ104" s="15"/>
      <c r="AR104" s="827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>
        <f>ROUND(E104*9,0)</f>
        <v>2700</v>
      </c>
      <c r="BG104" s="15"/>
      <c r="BH104" s="15">
        <f t="shared" si="124"/>
        <v>139609</v>
      </c>
      <c r="BI104" s="447">
        <f t="shared" si="137"/>
        <v>465.36</v>
      </c>
      <c r="BJ104" s="76">
        <f t="shared" si="161"/>
        <v>104433</v>
      </c>
      <c r="BK104" s="76">
        <f t="shared" si="161"/>
        <v>31539</v>
      </c>
      <c r="BL104" s="76">
        <f>Z104+AB104+AC104+AA104</f>
        <v>0</v>
      </c>
      <c r="BM104" s="76">
        <f>BF104</f>
        <v>2700</v>
      </c>
      <c r="BN104" s="76">
        <f>BE104</f>
        <v>0</v>
      </c>
      <c r="BO104" s="76">
        <f>BG104+AL104+AM104+AN104+AO104+AP104+AQ104+AS104+AT104+AU104+AV104+AW104+AX104+AY104+AZ104+BA104+BB104+BC104+BD104</f>
        <v>937</v>
      </c>
      <c r="BP104" s="92">
        <f>SUM(BJ104:BO104)</f>
        <v>139609</v>
      </c>
    </row>
    <row r="105" spans="1:68" ht="17.25" hidden="1" customHeight="1" outlineLevel="1">
      <c r="A105" s="858"/>
      <c r="B105" s="849"/>
      <c r="C105" s="849"/>
      <c r="D105" s="157" t="s">
        <v>192</v>
      </c>
      <c r="E105" s="10">
        <v>0</v>
      </c>
      <c r="F105" s="829"/>
      <c r="G105" s="8" t="e">
        <f t="shared" si="145"/>
        <v>#DIV/0!</v>
      </c>
      <c r="H105" s="8" t="e">
        <f t="shared" si="148"/>
        <v>#DIV/0!</v>
      </c>
      <c r="I105" s="8" t="e">
        <f t="shared" si="159"/>
        <v>#DIV/0!</v>
      </c>
      <c r="J105" s="451" t="e">
        <f>ROUND((AL105-AK105)/E105,3)</f>
        <v>#DIV/0!</v>
      </c>
      <c r="K105" s="8" t="e">
        <f t="shared" si="149"/>
        <v>#DIV/0!</v>
      </c>
      <c r="L105" s="8" t="e">
        <f t="shared" si="150"/>
        <v>#DIV/0!</v>
      </c>
      <c r="M105" s="8" t="e">
        <f t="shared" si="151"/>
        <v>#DIV/0!</v>
      </c>
      <c r="N105" s="11" t="e">
        <f t="shared" si="152"/>
        <v>#DIV/0!</v>
      </c>
      <c r="O105" s="11" t="e">
        <f t="shared" si="155"/>
        <v>#DIV/0!</v>
      </c>
      <c r="P105" s="453" t="e">
        <f t="shared" si="133"/>
        <v>#DIV/0!</v>
      </c>
      <c r="Q105" s="8" t="e">
        <f t="shared" si="160"/>
        <v>#DIV/0!</v>
      </c>
      <c r="R105" s="8" t="e">
        <f t="shared" si="153"/>
        <v>#DIV/0!</v>
      </c>
      <c r="S105" s="8" t="e">
        <f t="shared" si="154"/>
        <v>#DIV/0!</v>
      </c>
      <c r="T105" s="627" t="e">
        <f t="shared" si="141"/>
        <v>#DIV/0!</v>
      </c>
      <c r="U105" s="829"/>
      <c r="V105" s="15">
        <v>0</v>
      </c>
      <c r="W105" s="15">
        <f>ROUND(V105*0.302,0)</f>
        <v>0</v>
      </c>
      <c r="X105" s="15"/>
      <c r="Y105" s="15"/>
      <c r="Z105" s="15"/>
      <c r="AA105" s="15"/>
      <c r="AB105" s="15"/>
      <c r="AC105" s="15"/>
      <c r="AD105" s="15">
        <v>0</v>
      </c>
      <c r="AE105" s="15"/>
      <c r="AF105" s="15">
        <v>0</v>
      </c>
      <c r="AG105" s="15">
        <v>0</v>
      </c>
      <c r="AH105" s="15"/>
      <c r="AI105" s="15"/>
      <c r="AJ105" s="15"/>
      <c r="AK105" s="15">
        <v>0</v>
      </c>
      <c r="AL105" s="15">
        <f t="shared" si="147"/>
        <v>0</v>
      </c>
      <c r="AM105" s="15"/>
      <c r="AN105" s="15"/>
      <c r="AO105" s="15"/>
      <c r="AP105" s="15"/>
      <c r="AQ105" s="15"/>
      <c r="AR105" s="827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>
        <f>ROUND(E105*20,0)</f>
        <v>0</v>
      </c>
      <c r="BG105" s="15"/>
      <c r="BH105" s="15">
        <f t="shared" si="124"/>
        <v>0</v>
      </c>
      <c r="BI105" s="447" t="e">
        <f t="shared" si="137"/>
        <v>#DIV/0!</v>
      </c>
      <c r="BJ105" s="76">
        <f t="shared" si="161"/>
        <v>0</v>
      </c>
      <c r="BK105" s="76">
        <f t="shared" si="161"/>
        <v>0</v>
      </c>
      <c r="BL105" s="76">
        <f>Z105+AB105+AC105+AA105</f>
        <v>0</v>
      </c>
      <c r="BM105" s="76">
        <f>BF105</f>
        <v>0</v>
      </c>
      <c r="BN105" s="76">
        <f>BE105</f>
        <v>0</v>
      </c>
      <c r="BO105" s="76">
        <f>BG105+AL105+AM105+AN105+AO105+AP105+AQ105+AS105+AT105+AU105+AV105+AW105+AX105+AY105+AZ105+BA105+BB105+BC105+BD105</f>
        <v>0</v>
      </c>
      <c r="BP105" s="92">
        <f>SUM(BJ105:BO105)</f>
        <v>0</v>
      </c>
    </row>
    <row r="106" spans="1:68" ht="27" customHeight="1" collapsed="1">
      <c r="A106" s="858"/>
      <c r="B106" s="850"/>
      <c r="C106" s="850"/>
      <c r="D106" s="157" t="s">
        <v>193</v>
      </c>
      <c r="E106" s="10">
        <v>259</v>
      </c>
      <c r="F106" s="829"/>
      <c r="G106" s="8">
        <f t="shared" si="145"/>
        <v>400.197</v>
      </c>
      <c r="H106" s="8">
        <f t="shared" si="148"/>
        <v>0</v>
      </c>
      <c r="I106" s="8">
        <f t="shared" si="159"/>
        <v>400.197</v>
      </c>
      <c r="J106" s="451">
        <f>ROUND((AL106-AK106)/E106,3)</f>
        <v>1.931</v>
      </c>
      <c r="K106" s="8">
        <f t="shared" si="149"/>
        <v>0</v>
      </c>
      <c r="L106" s="8">
        <f t="shared" si="150"/>
        <v>0</v>
      </c>
      <c r="M106" s="8">
        <f t="shared" si="151"/>
        <v>0</v>
      </c>
      <c r="N106" s="11">
        <f t="shared" si="152"/>
        <v>0</v>
      </c>
      <c r="O106" s="11">
        <f t="shared" si="155"/>
        <v>20</v>
      </c>
      <c r="P106" s="453">
        <f t="shared" si="133"/>
        <v>0.82599999999999996</v>
      </c>
      <c r="Q106" s="8">
        <f t="shared" si="160"/>
        <v>422.95400000000001</v>
      </c>
      <c r="R106" s="8">
        <f t="shared" si="153"/>
        <v>0</v>
      </c>
      <c r="S106" s="8">
        <f t="shared" si="154"/>
        <v>0</v>
      </c>
      <c r="T106" s="627">
        <f t="shared" si="141"/>
        <v>422.95400000000001</v>
      </c>
      <c r="U106" s="829"/>
      <c r="V106" s="15">
        <v>79609</v>
      </c>
      <c r="W106" s="15">
        <f>ROUND(V106*0.302,0)</f>
        <v>24042</v>
      </c>
      <c r="X106" s="15"/>
      <c r="Y106" s="15"/>
      <c r="Z106" s="15"/>
      <c r="AA106" s="15"/>
      <c r="AB106" s="15"/>
      <c r="AC106" s="15"/>
      <c r="AD106" s="15">
        <v>357</v>
      </c>
      <c r="AE106" s="15"/>
      <c r="AF106" s="15">
        <v>36</v>
      </c>
      <c r="AG106" s="15">
        <v>107</v>
      </c>
      <c r="AH106" s="15"/>
      <c r="AI106" s="15"/>
      <c r="AJ106" s="15"/>
      <c r="AK106" s="15">
        <v>214</v>
      </c>
      <c r="AL106" s="15">
        <f t="shared" si="147"/>
        <v>714</v>
      </c>
      <c r="AM106" s="15"/>
      <c r="AN106" s="15"/>
      <c r="AO106" s="15"/>
      <c r="AP106" s="15"/>
      <c r="AQ106" s="15"/>
      <c r="AR106" s="827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>
        <f>ROUND(E106*20,0)</f>
        <v>5180</v>
      </c>
      <c r="BG106" s="15"/>
      <c r="BH106" s="15">
        <f t="shared" si="124"/>
        <v>109545</v>
      </c>
      <c r="BI106" s="447">
        <f t="shared" si="137"/>
        <v>422.95</v>
      </c>
      <c r="BJ106" s="76">
        <f t="shared" si="161"/>
        <v>79609</v>
      </c>
      <c r="BK106" s="76">
        <f t="shared" si="161"/>
        <v>24042</v>
      </c>
      <c r="BL106" s="76">
        <f>Z106+AB106+AC106+AA106</f>
        <v>0</v>
      </c>
      <c r="BM106" s="76">
        <f>BF106</f>
        <v>5180</v>
      </c>
      <c r="BN106" s="76">
        <f>BE106</f>
        <v>0</v>
      </c>
      <c r="BO106" s="76">
        <f>BG106+AL106+AM106+AN106+AO106+AP106+AQ106+AS106+AT106+AU106+AV106+AW106+AX106+AY106+AZ106+BA106+BB106+BC106+BD106</f>
        <v>714</v>
      </c>
      <c r="BP106" s="92">
        <f>SUM(BJ106:BO106)</f>
        <v>109545</v>
      </c>
    </row>
    <row r="107" spans="1:68" ht="49.5" customHeight="1">
      <c r="A107" s="859"/>
      <c r="B107" s="9" t="s">
        <v>198</v>
      </c>
      <c r="C107" s="9" t="s">
        <v>196</v>
      </c>
      <c r="D107" s="157"/>
      <c r="E107" s="10">
        <v>4100</v>
      </c>
      <c r="F107" s="830"/>
      <c r="G107" s="8">
        <f t="shared" si="145"/>
        <v>211.61600000000001</v>
      </c>
      <c r="H107" s="8">
        <f t="shared" si="148"/>
        <v>0</v>
      </c>
      <c r="I107" s="8">
        <f t="shared" si="159"/>
        <v>211.61600000000001</v>
      </c>
      <c r="J107" s="451">
        <f>ROUND((AL107-AK107)/E107,3)</f>
        <v>0.748</v>
      </c>
      <c r="K107" s="8">
        <f t="shared" si="149"/>
        <v>0</v>
      </c>
      <c r="L107" s="8">
        <f t="shared" si="150"/>
        <v>0</v>
      </c>
      <c r="M107" s="8">
        <f t="shared" si="151"/>
        <v>0</v>
      </c>
      <c r="N107" s="11">
        <f t="shared" si="152"/>
        <v>0</v>
      </c>
      <c r="O107" s="11">
        <f t="shared" si="155"/>
        <v>0.91</v>
      </c>
      <c r="P107" s="453">
        <f t="shared" si="133"/>
        <v>0.32800000000000001</v>
      </c>
      <c r="Q107" s="8">
        <f t="shared" si="160"/>
        <v>213.602</v>
      </c>
      <c r="R107" s="8">
        <f t="shared" si="153"/>
        <v>0</v>
      </c>
      <c r="S107" s="8">
        <f t="shared" si="154"/>
        <v>0</v>
      </c>
      <c r="T107" s="627">
        <f t="shared" si="141"/>
        <v>213.602</v>
      </c>
      <c r="U107" s="830"/>
      <c r="V107" s="15">
        <v>666372</v>
      </c>
      <c r="W107" s="15">
        <f>315862-114609</f>
        <v>201253</v>
      </c>
      <c r="X107" s="15"/>
      <c r="Y107" s="15"/>
      <c r="Z107" s="15"/>
      <c r="AA107" s="15"/>
      <c r="AB107" s="15"/>
      <c r="AC107" s="15"/>
      <c r="AD107" s="15">
        <v>2171</v>
      </c>
      <c r="AE107" s="15"/>
      <c r="AF107" s="15">
        <v>224</v>
      </c>
      <c r="AG107" s="15">
        <v>673</v>
      </c>
      <c r="AH107" s="15"/>
      <c r="AI107" s="15"/>
      <c r="AJ107" s="15"/>
      <c r="AK107" s="15">
        <v>1346</v>
      </c>
      <c r="AL107" s="15">
        <f t="shared" si="147"/>
        <v>4414</v>
      </c>
      <c r="AM107" s="15"/>
      <c r="AN107" s="15"/>
      <c r="AO107" s="15"/>
      <c r="AP107" s="15"/>
      <c r="AQ107" s="15"/>
      <c r="AR107" s="828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>
        <f>BF108-BF103-BF104-BF105-BF106</f>
        <v>3734</v>
      </c>
      <c r="BG107" s="15"/>
      <c r="BH107" s="15">
        <f t="shared" si="124"/>
        <v>875773</v>
      </c>
      <c r="BI107" s="447">
        <f t="shared" si="137"/>
        <v>213.6</v>
      </c>
      <c r="BJ107" s="76">
        <f t="shared" si="161"/>
        <v>666372</v>
      </c>
      <c r="BK107" s="76">
        <f t="shared" si="161"/>
        <v>201253</v>
      </c>
      <c r="BL107" s="76">
        <f>Z107+AB107+AC107+AA107</f>
        <v>0</v>
      </c>
      <c r="BM107" s="76">
        <f>BF107</f>
        <v>3734</v>
      </c>
      <c r="BN107" s="76">
        <f>BE107</f>
        <v>0</v>
      </c>
      <c r="BO107" s="76">
        <f>BG107+AL107+AM107+AN107+AO107+AP107+AQ107+AS107+AT107+AU107+AV107+AW107+AX107+AY107+AZ107+BA107+BB107+BC107+BD107</f>
        <v>4414</v>
      </c>
      <c r="BP107" s="92">
        <f>SUM(BJ107:BO107)</f>
        <v>875773</v>
      </c>
    </row>
    <row r="108" spans="1:68" ht="27.75" customHeight="1">
      <c r="A108" s="109" t="s">
        <v>251</v>
      </c>
      <c r="B108" s="29"/>
      <c r="C108" s="29" t="s">
        <v>252</v>
      </c>
      <c r="D108" s="158"/>
      <c r="E108" s="32">
        <v>6446</v>
      </c>
      <c r="F108" s="159"/>
      <c r="G108" s="30">
        <f t="shared" si="145"/>
        <v>211.25200000000001</v>
      </c>
      <c r="H108" s="30">
        <f t="shared" si="148"/>
        <v>0</v>
      </c>
      <c r="I108" s="30">
        <f t="shared" si="159"/>
        <v>211.25200000000001</v>
      </c>
      <c r="J108" s="30">
        <f>ROUND((AL108-AK108)/E108,2)</f>
        <v>0.85</v>
      </c>
      <c r="K108" s="30">
        <f t="shared" si="149"/>
        <v>0</v>
      </c>
      <c r="L108" s="30">
        <f t="shared" si="150"/>
        <v>0</v>
      </c>
      <c r="M108" s="30">
        <f t="shared" si="151"/>
        <v>0</v>
      </c>
      <c r="N108" s="33">
        <f t="shared" si="152"/>
        <v>0</v>
      </c>
      <c r="O108" s="33">
        <f>ROUND(BF108/E108,3)</f>
        <v>1.992</v>
      </c>
      <c r="P108" s="33">
        <f t="shared" si="133"/>
        <v>0.36699999999999999</v>
      </c>
      <c r="Q108" s="30">
        <f t="shared" si="160"/>
        <v>214.46100000000001</v>
      </c>
      <c r="R108" s="30">
        <f t="shared" si="153"/>
        <v>0</v>
      </c>
      <c r="S108" s="30">
        <f t="shared" si="154"/>
        <v>0</v>
      </c>
      <c r="T108" s="627">
        <f t="shared" si="141"/>
        <v>214.46100000000001</v>
      </c>
      <c r="U108" s="159"/>
      <c r="V108" s="24">
        <f>SUM(V103:V107)</f>
        <v>1045870</v>
      </c>
      <c r="W108" s="24">
        <f>SUM(W103:W107)</f>
        <v>315862</v>
      </c>
      <c r="X108" s="24">
        <f t="shared" ref="X108:BG108" si="162">X103+X104+X105+X106+X107</f>
        <v>0</v>
      </c>
      <c r="Y108" s="24">
        <f t="shared" si="162"/>
        <v>0</v>
      </c>
      <c r="Z108" s="24">
        <f t="shared" si="162"/>
        <v>0</v>
      </c>
      <c r="AA108" s="24">
        <f t="shared" si="162"/>
        <v>0</v>
      </c>
      <c r="AB108" s="24">
        <f t="shared" si="162"/>
        <v>0</v>
      </c>
      <c r="AC108" s="24">
        <f t="shared" si="162"/>
        <v>0</v>
      </c>
      <c r="AD108" s="24">
        <f>SUM(AD103:AD107)</f>
        <v>3873</v>
      </c>
      <c r="AE108" s="24">
        <f t="shared" ref="AE108:AL108" si="163">SUM(AE103:AE107)</f>
        <v>0</v>
      </c>
      <c r="AF108" s="24">
        <f t="shared" si="163"/>
        <v>395</v>
      </c>
      <c r="AG108" s="24">
        <f t="shared" si="163"/>
        <v>1184</v>
      </c>
      <c r="AH108" s="24">
        <f t="shared" si="163"/>
        <v>0</v>
      </c>
      <c r="AI108" s="24">
        <f t="shared" si="163"/>
        <v>0</v>
      </c>
      <c r="AJ108" s="24">
        <f t="shared" si="163"/>
        <v>0</v>
      </c>
      <c r="AK108" s="24">
        <f t="shared" si="163"/>
        <v>2367</v>
      </c>
      <c r="AL108" s="24">
        <f t="shared" si="163"/>
        <v>7819</v>
      </c>
      <c r="AM108" s="24">
        <f t="shared" si="162"/>
        <v>0</v>
      </c>
      <c r="AN108" s="24">
        <f t="shared" si="162"/>
        <v>0</v>
      </c>
      <c r="AO108" s="24">
        <f t="shared" si="162"/>
        <v>0</v>
      </c>
      <c r="AP108" s="24">
        <f t="shared" si="162"/>
        <v>0</v>
      </c>
      <c r="AQ108" s="24">
        <f t="shared" si="162"/>
        <v>0</v>
      </c>
      <c r="AR108" s="307"/>
      <c r="AS108" s="24">
        <f t="shared" si="162"/>
        <v>0</v>
      </c>
      <c r="AT108" s="24">
        <f t="shared" si="162"/>
        <v>0</v>
      </c>
      <c r="AU108" s="24">
        <f t="shared" si="162"/>
        <v>0</v>
      </c>
      <c r="AV108" s="24">
        <f t="shared" si="162"/>
        <v>0</v>
      </c>
      <c r="AW108" s="24">
        <f t="shared" si="162"/>
        <v>0</v>
      </c>
      <c r="AX108" s="24">
        <f t="shared" si="162"/>
        <v>0</v>
      </c>
      <c r="AY108" s="24">
        <f t="shared" si="162"/>
        <v>0</v>
      </c>
      <c r="AZ108" s="24">
        <f t="shared" si="162"/>
        <v>0</v>
      </c>
      <c r="BA108" s="24">
        <f t="shared" si="162"/>
        <v>0</v>
      </c>
      <c r="BB108" s="24">
        <f t="shared" si="162"/>
        <v>0</v>
      </c>
      <c r="BC108" s="24">
        <f t="shared" si="162"/>
        <v>0</v>
      </c>
      <c r="BD108" s="24">
        <f t="shared" si="162"/>
        <v>0</v>
      </c>
      <c r="BE108" s="24">
        <f t="shared" si="162"/>
        <v>0</v>
      </c>
      <c r="BF108" s="24">
        <v>12842</v>
      </c>
      <c r="BG108" s="24">
        <f t="shared" si="162"/>
        <v>0</v>
      </c>
      <c r="BH108" s="24">
        <f t="shared" si="124"/>
        <v>1382393</v>
      </c>
      <c r="BI108" s="447">
        <f t="shared" si="137"/>
        <v>214.46</v>
      </c>
      <c r="BJ108" s="24">
        <f t="shared" ref="BJ108:BP108" si="164">BJ103+BJ104+BJ105+BJ106+BJ107</f>
        <v>1045870</v>
      </c>
      <c r="BK108" s="24">
        <f t="shared" si="164"/>
        <v>315862</v>
      </c>
      <c r="BL108" s="24">
        <f t="shared" si="164"/>
        <v>0</v>
      </c>
      <c r="BM108" s="24">
        <f t="shared" si="164"/>
        <v>12842</v>
      </c>
      <c r="BN108" s="24">
        <f t="shared" si="164"/>
        <v>0</v>
      </c>
      <c r="BO108" s="24">
        <f t="shared" si="164"/>
        <v>7819</v>
      </c>
      <c r="BP108" s="24">
        <f t="shared" si="164"/>
        <v>1382393</v>
      </c>
    </row>
    <row r="109" spans="1:68" ht="17.25" customHeight="1">
      <c r="A109" s="857" t="s">
        <v>194</v>
      </c>
      <c r="B109" s="648" t="s">
        <v>197</v>
      </c>
      <c r="C109" s="648" t="s">
        <v>189</v>
      </c>
      <c r="D109" s="157" t="s">
        <v>190</v>
      </c>
      <c r="E109" s="313">
        <v>343</v>
      </c>
      <c r="F109" s="671" t="s">
        <v>209</v>
      </c>
      <c r="G109" s="8">
        <f t="shared" si="145"/>
        <v>137.69999999999999</v>
      </c>
      <c r="H109" s="8">
        <f t="shared" si="148"/>
        <v>0</v>
      </c>
      <c r="I109" s="8">
        <f t="shared" si="159"/>
        <v>137.69999999999999</v>
      </c>
      <c r="J109" s="451">
        <f t="shared" ref="J109:J119" si="165">ROUND((AL109-AK109)/E109,3)</f>
        <v>2.4079999999999999</v>
      </c>
      <c r="K109" s="8">
        <f t="shared" si="149"/>
        <v>0</v>
      </c>
      <c r="L109" s="8">
        <f t="shared" si="150"/>
        <v>0</v>
      </c>
      <c r="M109" s="8">
        <f t="shared" si="151"/>
        <v>0</v>
      </c>
      <c r="N109" s="11">
        <f t="shared" si="152"/>
        <v>0</v>
      </c>
      <c r="O109" s="11">
        <f t="shared" si="155"/>
        <v>2</v>
      </c>
      <c r="P109" s="453">
        <f t="shared" si="133"/>
        <v>1.032</v>
      </c>
      <c r="Q109" s="8">
        <f t="shared" si="160"/>
        <v>143.13999999999999</v>
      </c>
      <c r="R109" s="8">
        <f t="shared" si="153"/>
        <v>0</v>
      </c>
      <c r="S109" s="8">
        <f t="shared" si="154"/>
        <v>0</v>
      </c>
      <c r="T109" s="627">
        <f t="shared" si="141"/>
        <v>143.13999999999999</v>
      </c>
      <c r="U109" s="671" t="s">
        <v>209</v>
      </c>
      <c r="V109" s="15">
        <v>36276</v>
      </c>
      <c r="W109" s="15">
        <f>ROUND(V109*0.302,0)</f>
        <v>10955</v>
      </c>
      <c r="X109" s="15"/>
      <c r="Y109" s="15"/>
      <c r="Z109" s="15"/>
      <c r="AA109" s="15"/>
      <c r="AB109" s="15"/>
      <c r="AC109" s="15"/>
      <c r="AD109" s="15">
        <v>590</v>
      </c>
      <c r="AE109" s="15"/>
      <c r="AF109" s="15">
        <v>59</v>
      </c>
      <c r="AG109" s="15">
        <v>177</v>
      </c>
      <c r="AH109" s="15"/>
      <c r="AI109" s="15"/>
      <c r="AJ109" s="15"/>
      <c r="AK109" s="15">
        <v>354</v>
      </c>
      <c r="AL109" s="15">
        <f t="shared" si="147"/>
        <v>1180</v>
      </c>
      <c r="AM109" s="15"/>
      <c r="AN109" s="15"/>
      <c r="AO109" s="15"/>
      <c r="AP109" s="15"/>
      <c r="AQ109" s="15"/>
      <c r="AR109" s="705" t="s">
        <v>209</v>
      </c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>
        <f>ROUND(E109*2,0)</f>
        <v>686</v>
      </c>
      <c r="BG109" s="15"/>
      <c r="BH109" s="15">
        <f t="shared" si="124"/>
        <v>49097</v>
      </c>
      <c r="BI109" s="447">
        <f t="shared" si="137"/>
        <v>143.13999999999999</v>
      </c>
      <c r="BJ109" s="76">
        <f t="shared" ref="BJ109:BK113" si="166">V109+X109</f>
        <v>36276</v>
      </c>
      <c r="BK109" s="76">
        <f t="shared" si="166"/>
        <v>10955</v>
      </c>
      <c r="BL109" s="76">
        <f>Z109+AB109+AC109+AA109</f>
        <v>0</v>
      </c>
      <c r="BM109" s="76">
        <f>BF109</f>
        <v>686</v>
      </c>
      <c r="BN109" s="76">
        <f>BE109</f>
        <v>0</v>
      </c>
      <c r="BO109" s="76">
        <f>BG109+AL109+AM109+AN109+AO109+AP109+AQ109+AS109+AT109+AU109+AV109+AW109+AX109+AY109+AZ109+BA109+BB109+BC109+BD109</f>
        <v>1180</v>
      </c>
      <c r="BP109" s="92">
        <f>SUM(BJ109:BO109)</f>
        <v>49097</v>
      </c>
    </row>
    <row r="110" spans="1:68" ht="17.25" customHeight="1">
      <c r="A110" s="858"/>
      <c r="B110" s="849"/>
      <c r="C110" s="849"/>
      <c r="D110" s="157" t="s">
        <v>191</v>
      </c>
      <c r="E110" s="313">
        <v>366</v>
      </c>
      <c r="F110" s="829"/>
      <c r="G110" s="8">
        <f t="shared" si="145"/>
        <v>137.702</v>
      </c>
      <c r="H110" s="8">
        <f t="shared" si="148"/>
        <v>0</v>
      </c>
      <c r="I110" s="8">
        <f t="shared" si="159"/>
        <v>137.702</v>
      </c>
      <c r="J110" s="451">
        <f t="shared" si="165"/>
        <v>2.407</v>
      </c>
      <c r="K110" s="8">
        <f t="shared" si="149"/>
        <v>0</v>
      </c>
      <c r="L110" s="8">
        <f t="shared" si="150"/>
        <v>0</v>
      </c>
      <c r="M110" s="8">
        <f t="shared" si="151"/>
        <v>0</v>
      </c>
      <c r="N110" s="11">
        <f t="shared" si="152"/>
        <v>0</v>
      </c>
      <c r="O110" s="11">
        <f t="shared" si="155"/>
        <v>9</v>
      </c>
      <c r="P110" s="453">
        <f t="shared" si="133"/>
        <v>1.0329999999999999</v>
      </c>
      <c r="Q110" s="8">
        <f t="shared" si="160"/>
        <v>150.142</v>
      </c>
      <c r="R110" s="8">
        <f t="shared" si="153"/>
        <v>0</v>
      </c>
      <c r="S110" s="8">
        <f t="shared" si="154"/>
        <v>0</v>
      </c>
      <c r="T110" s="627">
        <f t="shared" si="141"/>
        <v>150.142</v>
      </c>
      <c r="U110" s="829"/>
      <c r="V110" s="15">
        <v>38709</v>
      </c>
      <c r="W110" s="15">
        <f>ROUND(V110*0.302,0)</f>
        <v>11690</v>
      </c>
      <c r="X110" s="15"/>
      <c r="Y110" s="15"/>
      <c r="Z110" s="15"/>
      <c r="AA110" s="15"/>
      <c r="AB110" s="15"/>
      <c r="AC110" s="15"/>
      <c r="AD110" s="15">
        <v>629</v>
      </c>
      <c r="AE110" s="15"/>
      <c r="AF110" s="15">
        <v>63</v>
      </c>
      <c r="AG110" s="15">
        <v>189</v>
      </c>
      <c r="AH110" s="15"/>
      <c r="AI110" s="15"/>
      <c r="AJ110" s="15"/>
      <c r="AK110" s="15">
        <v>378</v>
      </c>
      <c r="AL110" s="15">
        <f t="shared" si="147"/>
        <v>1259</v>
      </c>
      <c r="AM110" s="15"/>
      <c r="AN110" s="15"/>
      <c r="AO110" s="15"/>
      <c r="AP110" s="15"/>
      <c r="AQ110" s="15"/>
      <c r="AR110" s="827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>
        <f>ROUND(E110*9,0)</f>
        <v>3294</v>
      </c>
      <c r="BG110" s="15"/>
      <c r="BH110" s="15">
        <f t="shared" si="124"/>
        <v>54952</v>
      </c>
      <c r="BI110" s="447">
        <f t="shared" si="137"/>
        <v>150.13999999999999</v>
      </c>
      <c r="BJ110" s="76">
        <f t="shared" si="166"/>
        <v>38709</v>
      </c>
      <c r="BK110" s="76">
        <f t="shared" si="166"/>
        <v>11690</v>
      </c>
      <c r="BL110" s="76">
        <f>Z110+AB110+AC110+AA110</f>
        <v>0</v>
      </c>
      <c r="BM110" s="76">
        <f>BF110</f>
        <v>3294</v>
      </c>
      <c r="BN110" s="76">
        <f>BE110</f>
        <v>0</v>
      </c>
      <c r="BO110" s="76">
        <f>BG110+AL110+AM110+AN110+AO110+AP110+AQ110+AS110+AT110+AU110+AV110+AW110+AX110+AY110+AZ110+BA110+BB110+BC110+BD110</f>
        <v>1259</v>
      </c>
      <c r="BP110" s="92">
        <f>SUM(BJ110:BO110)</f>
        <v>54952</v>
      </c>
    </row>
    <row r="111" spans="1:68" ht="17.25" customHeight="1">
      <c r="A111" s="858"/>
      <c r="B111" s="849"/>
      <c r="C111" s="849"/>
      <c r="D111" s="157" t="s">
        <v>192</v>
      </c>
      <c r="E111" s="313">
        <v>149</v>
      </c>
      <c r="F111" s="829"/>
      <c r="G111" s="8">
        <f t="shared" si="145"/>
        <v>137.69800000000001</v>
      </c>
      <c r="H111" s="8">
        <f t="shared" si="148"/>
        <v>0</v>
      </c>
      <c r="I111" s="8">
        <f t="shared" si="159"/>
        <v>137.69800000000001</v>
      </c>
      <c r="J111" s="451">
        <f t="shared" si="165"/>
        <v>2.4089999999999998</v>
      </c>
      <c r="K111" s="8">
        <f t="shared" si="149"/>
        <v>0</v>
      </c>
      <c r="L111" s="8">
        <f t="shared" si="150"/>
        <v>0</v>
      </c>
      <c r="M111" s="8">
        <f t="shared" si="151"/>
        <v>0</v>
      </c>
      <c r="N111" s="11">
        <f t="shared" si="152"/>
        <v>0</v>
      </c>
      <c r="O111" s="11">
        <f t="shared" si="155"/>
        <v>20</v>
      </c>
      <c r="P111" s="453">
        <f t="shared" si="133"/>
        <v>1.034</v>
      </c>
      <c r="Q111" s="8">
        <f t="shared" si="160"/>
        <v>161.14100000000002</v>
      </c>
      <c r="R111" s="8">
        <f t="shared" si="153"/>
        <v>0</v>
      </c>
      <c r="S111" s="8">
        <f t="shared" si="154"/>
        <v>0</v>
      </c>
      <c r="T111" s="627">
        <f t="shared" si="141"/>
        <v>161.14100000000002</v>
      </c>
      <c r="U111" s="829"/>
      <c r="V111" s="15">
        <v>15758</v>
      </c>
      <c r="W111" s="15">
        <f>ROUND(V111*0.302,0)</f>
        <v>4759</v>
      </c>
      <c r="X111" s="15"/>
      <c r="Y111" s="15"/>
      <c r="Z111" s="15"/>
      <c r="AA111" s="15"/>
      <c r="AB111" s="15"/>
      <c r="AC111" s="15"/>
      <c r="AD111" s="15">
        <v>256</v>
      </c>
      <c r="AE111" s="15"/>
      <c r="AF111" s="15">
        <v>26</v>
      </c>
      <c r="AG111" s="15">
        <v>77</v>
      </c>
      <c r="AH111" s="15"/>
      <c r="AI111" s="15"/>
      <c r="AJ111" s="15"/>
      <c r="AK111" s="15">
        <v>154</v>
      </c>
      <c r="AL111" s="15">
        <f t="shared" si="147"/>
        <v>513</v>
      </c>
      <c r="AM111" s="15"/>
      <c r="AN111" s="15"/>
      <c r="AO111" s="15"/>
      <c r="AP111" s="15"/>
      <c r="AQ111" s="15"/>
      <c r="AR111" s="827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>
        <f>ROUND(E111*20,0)</f>
        <v>2980</v>
      </c>
      <c r="BG111" s="15"/>
      <c r="BH111" s="15">
        <f t="shared" ref="BH111:BH142" si="167">V111+W111+X111+Y111+Z111+AB111+AC111+AL111+AM111+AN111+AO111+AP111+AS111+AT111+AU111+AV111+AW111+AX111+AY111+AZ111+BA111+BB111+BC111+BD111+BE111+BF111+BG111+AQ111+AA111</f>
        <v>24010</v>
      </c>
      <c r="BI111" s="447">
        <f t="shared" si="137"/>
        <v>161.13999999999999</v>
      </c>
      <c r="BJ111" s="76">
        <f t="shared" si="166"/>
        <v>15758</v>
      </c>
      <c r="BK111" s="76">
        <f t="shared" si="166"/>
        <v>4759</v>
      </c>
      <c r="BL111" s="76">
        <f>Z111+AB111+AC111+AA111</f>
        <v>0</v>
      </c>
      <c r="BM111" s="76">
        <f>BF111</f>
        <v>2980</v>
      </c>
      <c r="BN111" s="76">
        <f>BE111</f>
        <v>0</v>
      </c>
      <c r="BO111" s="76">
        <f>BG111+AL111+AM111+AN111+AO111+AP111+AQ111+AS111+AT111+AU111+AV111+AW111+AX111+AY111+AZ111+BA111+BB111+BC111+BD111</f>
        <v>513</v>
      </c>
      <c r="BP111" s="92">
        <f>SUM(BJ111:BO111)</f>
        <v>24010</v>
      </c>
    </row>
    <row r="112" spans="1:68" ht="17.25" customHeight="1">
      <c r="A112" s="858"/>
      <c r="B112" s="850"/>
      <c r="C112" s="850"/>
      <c r="D112" s="157" t="s">
        <v>193</v>
      </c>
      <c r="E112" s="313">
        <v>140</v>
      </c>
      <c r="F112" s="829"/>
      <c r="G112" s="8">
        <f t="shared" si="145"/>
        <v>137.69300000000001</v>
      </c>
      <c r="H112" s="8">
        <f t="shared" si="148"/>
        <v>0</v>
      </c>
      <c r="I112" s="8">
        <f t="shared" si="159"/>
        <v>137.69300000000001</v>
      </c>
      <c r="J112" s="451">
        <f t="shared" si="165"/>
        <v>2.407</v>
      </c>
      <c r="K112" s="8">
        <f t="shared" si="149"/>
        <v>0</v>
      </c>
      <c r="L112" s="8">
        <f t="shared" si="150"/>
        <v>0</v>
      </c>
      <c r="M112" s="8">
        <f t="shared" si="151"/>
        <v>0</v>
      </c>
      <c r="N112" s="11">
        <f t="shared" si="152"/>
        <v>0</v>
      </c>
      <c r="O112" s="11">
        <f t="shared" si="155"/>
        <v>20</v>
      </c>
      <c r="P112" s="453">
        <f t="shared" si="133"/>
        <v>1.036</v>
      </c>
      <c r="Q112" s="8">
        <f t="shared" si="160"/>
        <v>161.13600000000002</v>
      </c>
      <c r="R112" s="8">
        <f t="shared" si="153"/>
        <v>0</v>
      </c>
      <c r="S112" s="8">
        <f t="shared" si="154"/>
        <v>0</v>
      </c>
      <c r="T112" s="627">
        <f t="shared" si="141"/>
        <v>161.13600000000002</v>
      </c>
      <c r="U112" s="829"/>
      <c r="V112" s="15">
        <v>14806</v>
      </c>
      <c r="W112" s="15">
        <f>ROUND(V112*0.302,0)</f>
        <v>4471</v>
      </c>
      <c r="X112" s="15"/>
      <c r="Y112" s="15"/>
      <c r="Z112" s="15"/>
      <c r="AA112" s="15"/>
      <c r="AB112" s="15"/>
      <c r="AC112" s="15"/>
      <c r="AD112" s="15">
        <v>241</v>
      </c>
      <c r="AE112" s="15"/>
      <c r="AF112" s="15">
        <v>24</v>
      </c>
      <c r="AG112" s="15">
        <v>72</v>
      </c>
      <c r="AH112" s="15"/>
      <c r="AI112" s="15"/>
      <c r="AJ112" s="15"/>
      <c r="AK112" s="15">
        <v>145</v>
      </c>
      <c r="AL112" s="15">
        <f t="shared" si="147"/>
        <v>482</v>
      </c>
      <c r="AM112" s="15"/>
      <c r="AN112" s="15"/>
      <c r="AO112" s="15"/>
      <c r="AP112" s="15"/>
      <c r="AQ112" s="15"/>
      <c r="AR112" s="827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>
        <f>ROUND(E112*20,0)</f>
        <v>2800</v>
      </c>
      <c r="BG112" s="15"/>
      <c r="BH112" s="15">
        <f t="shared" si="167"/>
        <v>22559</v>
      </c>
      <c r="BI112" s="447">
        <f t="shared" si="137"/>
        <v>161.13999999999999</v>
      </c>
      <c r="BJ112" s="76">
        <f t="shared" si="166"/>
        <v>14806</v>
      </c>
      <c r="BK112" s="76">
        <f t="shared" si="166"/>
        <v>4471</v>
      </c>
      <c r="BL112" s="76">
        <f>Z112+AB112+AC112+AA112</f>
        <v>0</v>
      </c>
      <c r="BM112" s="76">
        <f>BF112</f>
        <v>2800</v>
      </c>
      <c r="BN112" s="76">
        <f>BE112</f>
        <v>0</v>
      </c>
      <c r="BO112" s="76">
        <f>BG112+AL112+AM112+AN112+AO112+AP112+AQ112+AS112+AT112+AU112+AV112+AW112+AX112+AY112+AZ112+BA112+BB112+BC112+BD112</f>
        <v>482</v>
      </c>
      <c r="BP112" s="92">
        <f>SUM(BJ112:BO112)</f>
        <v>22559</v>
      </c>
    </row>
    <row r="113" spans="1:68" ht="51.75" customHeight="1">
      <c r="A113" s="859"/>
      <c r="B113" s="9" t="s">
        <v>198</v>
      </c>
      <c r="C113" s="9" t="s">
        <v>196</v>
      </c>
      <c r="D113" s="157"/>
      <c r="E113" s="313">
        <v>3496</v>
      </c>
      <c r="F113" s="830"/>
      <c r="G113" s="8">
        <f t="shared" si="145"/>
        <v>68.989999999999995</v>
      </c>
      <c r="H113" s="8">
        <f t="shared" si="148"/>
        <v>0</v>
      </c>
      <c r="I113" s="8">
        <f t="shared" si="159"/>
        <v>68.989999999999995</v>
      </c>
      <c r="J113" s="451">
        <f t="shared" si="165"/>
        <v>0.88600000000000001</v>
      </c>
      <c r="K113" s="8">
        <f t="shared" si="149"/>
        <v>0</v>
      </c>
      <c r="L113" s="8">
        <f t="shared" si="150"/>
        <v>0</v>
      </c>
      <c r="M113" s="8">
        <f t="shared" si="151"/>
        <v>0</v>
      </c>
      <c r="N113" s="11">
        <f t="shared" si="152"/>
        <v>0</v>
      </c>
      <c r="O113" s="11">
        <f t="shared" si="155"/>
        <v>2.68</v>
      </c>
      <c r="P113" s="453">
        <f t="shared" si="133"/>
        <v>0.38800000000000001</v>
      </c>
      <c r="Q113" s="8">
        <f t="shared" si="160"/>
        <v>72.943999999999988</v>
      </c>
      <c r="R113" s="8">
        <f t="shared" si="153"/>
        <v>0</v>
      </c>
      <c r="S113" s="8">
        <f t="shared" si="154"/>
        <v>0</v>
      </c>
      <c r="T113" s="627">
        <f t="shared" si="141"/>
        <v>72.943999999999988</v>
      </c>
      <c r="U113" s="830"/>
      <c r="V113" s="15">
        <v>185244</v>
      </c>
      <c r="W113" s="15">
        <f>87821-31875</f>
        <v>55946</v>
      </c>
      <c r="X113" s="15"/>
      <c r="Y113" s="15"/>
      <c r="Z113" s="15"/>
      <c r="AA113" s="15"/>
      <c r="AB113" s="15"/>
      <c r="AC113" s="15"/>
      <c r="AD113" s="15">
        <v>2191</v>
      </c>
      <c r="AE113" s="15"/>
      <c r="AF113" s="15">
        <v>226</v>
      </c>
      <c r="AG113" s="15">
        <v>679</v>
      </c>
      <c r="AH113" s="15"/>
      <c r="AI113" s="15"/>
      <c r="AJ113" s="15"/>
      <c r="AK113" s="15">
        <v>1358</v>
      </c>
      <c r="AL113" s="15">
        <f t="shared" si="147"/>
        <v>4454</v>
      </c>
      <c r="AM113" s="15"/>
      <c r="AN113" s="15"/>
      <c r="AO113" s="15"/>
      <c r="AP113" s="15"/>
      <c r="AQ113" s="15"/>
      <c r="AR113" s="828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>
        <f>BF114-BF109-BF110-BF111-BF112</f>
        <v>9365</v>
      </c>
      <c r="BG113" s="15"/>
      <c r="BH113" s="15">
        <f t="shared" si="167"/>
        <v>255009</v>
      </c>
      <c r="BI113" s="447">
        <f t="shared" si="137"/>
        <v>72.94</v>
      </c>
      <c r="BJ113" s="76">
        <f t="shared" si="166"/>
        <v>185244</v>
      </c>
      <c r="BK113" s="76">
        <f t="shared" si="166"/>
        <v>55946</v>
      </c>
      <c r="BL113" s="76">
        <f>Z113+AB113+AC113+AA113</f>
        <v>0</v>
      </c>
      <c r="BM113" s="76">
        <f>BF113</f>
        <v>9365</v>
      </c>
      <c r="BN113" s="76">
        <f>BE113</f>
        <v>0</v>
      </c>
      <c r="BO113" s="76">
        <f>BG113+AL113+AM113+AN113+AO113+AP113+AQ113+AS113+AT113+AU113+AV113+AW113+AX113+AY113+AZ113+BA113+BB113+BC113+BD113</f>
        <v>4454</v>
      </c>
      <c r="BP113" s="92">
        <f>SUM(BJ113:BO113)</f>
        <v>255009</v>
      </c>
    </row>
    <row r="114" spans="1:68" ht="27.75" customHeight="1">
      <c r="A114" s="109" t="s">
        <v>251</v>
      </c>
      <c r="B114" s="29"/>
      <c r="C114" s="29" t="s">
        <v>252</v>
      </c>
      <c r="D114" s="158"/>
      <c r="E114" s="32">
        <v>5488</v>
      </c>
      <c r="F114" s="159"/>
      <c r="G114" s="30">
        <f t="shared" si="145"/>
        <v>68.989000000000004</v>
      </c>
      <c r="H114" s="30">
        <f t="shared" si="148"/>
        <v>0</v>
      </c>
      <c r="I114" s="30">
        <f t="shared" si="159"/>
        <v>68.989000000000004</v>
      </c>
      <c r="J114" s="30">
        <f t="shared" si="165"/>
        <v>1.002</v>
      </c>
      <c r="K114" s="30">
        <f t="shared" si="149"/>
        <v>0</v>
      </c>
      <c r="L114" s="30">
        <f t="shared" si="150"/>
        <v>0</v>
      </c>
      <c r="M114" s="30">
        <f t="shared" si="151"/>
        <v>0</v>
      </c>
      <c r="N114" s="33">
        <f t="shared" si="152"/>
        <v>0</v>
      </c>
      <c r="O114" s="33">
        <f>ROUND(BF114/E114,3)</f>
        <v>3.4849999999999999</v>
      </c>
      <c r="P114" s="33">
        <f t="shared" si="133"/>
        <v>0.435</v>
      </c>
      <c r="Q114" s="30">
        <f t="shared" si="160"/>
        <v>73.911000000000001</v>
      </c>
      <c r="R114" s="30">
        <f t="shared" si="153"/>
        <v>0</v>
      </c>
      <c r="S114" s="30">
        <f t="shared" si="154"/>
        <v>0</v>
      </c>
      <c r="T114" s="627">
        <f t="shared" si="141"/>
        <v>73.911000000000001</v>
      </c>
      <c r="U114" s="159"/>
      <c r="V114" s="24">
        <f>SUM(V109:V113)</f>
        <v>290793</v>
      </c>
      <c r="W114" s="24">
        <f>SUM(W109:W113)</f>
        <v>87821</v>
      </c>
      <c r="X114" s="24">
        <f t="shared" ref="X114:BE114" si="168">X109+X110+X111+X112+X113</f>
        <v>0</v>
      </c>
      <c r="Y114" s="24">
        <f t="shared" si="168"/>
        <v>0</v>
      </c>
      <c r="Z114" s="24">
        <f t="shared" si="168"/>
        <v>0</v>
      </c>
      <c r="AA114" s="24">
        <f t="shared" si="168"/>
        <v>0</v>
      </c>
      <c r="AB114" s="24">
        <f t="shared" si="168"/>
        <v>0</v>
      </c>
      <c r="AC114" s="24">
        <f t="shared" si="168"/>
        <v>0</v>
      </c>
      <c r="AD114" s="24">
        <f>SUM(AD109:AD113)</f>
        <v>3907</v>
      </c>
      <c r="AE114" s="24">
        <f t="shared" ref="AE114:AL114" si="169">SUM(AE109:AE113)</f>
        <v>0</v>
      </c>
      <c r="AF114" s="24">
        <f t="shared" si="169"/>
        <v>398</v>
      </c>
      <c r="AG114" s="24">
        <f t="shared" si="169"/>
        <v>1194</v>
      </c>
      <c r="AH114" s="24">
        <f t="shared" si="169"/>
        <v>0</v>
      </c>
      <c r="AI114" s="24">
        <f t="shared" si="169"/>
        <v>0</v>
      </c>
      <c r="AJ114" s="24">
        <f t="shared" si="169"/>
        <v>0</v>
      </c>
      <c r="AK114" s="24">
        <f t="shared" si="169"/>
        <v>2389</v>
      </c>
      <c r="AL114" s="24">
        <f t="shared" si="169"/>
        <v>7888</v>
      </c>
      <c r="AM114" s="24">
        <f t="shared" si="168"/>
        <v>0</v>
      </c>
      <c r="AN114" s="24">
        <f t="shared" si="168"/>
        <v>0</v>
      </c>
      <c r="AO114" s="24">
        <f t="shared" si="168"/>
        <v>0</v>
      </c>
      <c r="AP114" s="24">
        <f t="shared" si="168"/>
        <v>0</v>
      </c>
      <c r="AQ114" s="24">
        <f t="shared" si="168"/>
        <v>0</v>
      </c>
      <c r="AR114" s="24"/>
      <c r="AS114" s="24">
        <f t="shared" si="168"/>
        <v>0</v>
      </c>
      <c r="AT114" s="24">
        <f t="shared" si="168"/>
        <v>0</v>
      </c>
      <c r="AU114" s="24">
        <f t="shared" si="168"/>
        <v>0</v>
      </c>
      <c r="AV114" s="24">
        <f t="shared" si="168"/>
        <v>0</v>
      </c>
      <c r="AW114" s="24">
        <f t="shared" si="168"/>
        <v>0</v>
      </c>
      <c r="AX114" s="24">
        <f t="shared" si="168"/>
        <v>0</v>
      </c>
      <c r="AY114" s="24">
        <f t="shared" si="168"/>
        <v>0</v>
      </c>
      <c r="AZ114" s="24">
        <f t="shared" si="168"/>
        <v>0</v>
      </c>
      <c r="BA114" s="24">
        <f t="shared" si="168"/>
        <v>0</v>
      </c>
      <c r="BB114" s="24">
        <f t="shared" si="168"/>
        <v>0</v>
      </c>
      <c r="BC114" s="24">
        <f t="shared" si="168"/>
        <v>0</v>
      </c>
      <c r="BD114" s="24">
        <f t="shared" si="168"/>
        <v>0</v>
      </c>
      <c r="BE114" s="24">
        <f t="shared" si="168"/>
        <v>0</v>
      </c>
      <c r="BF114" s="24">
        <v>19125</v>
      </c>
      <c r="BG114" s="24">
        <f>SUM(BG109:BG113)</f>
        <v>0</v>
      </c>
      <c r="BH114" s="24">
        <f>SUM(BH109:BH113)</f>
        <v>405627</v>
      </c>
      <c r="BI114" s="447">
        <f t="shared" si="137"/>
        <v>73.91</v>
      </c>
      <c r="BJ114" s="24">
        <f t="shared" ref="BJ114:BP114" si="170">BJ109+BJ110+BJ111+BJ112+BJ113</f>
        <v>290793</v>
      </c>
      <c r="BK114" s="24">
        <f t="shared" si="170"/>
        <v>87821</v>
      </c>
      <c r="BL114" s="24">
        <f t="shared" si="170"/>
        <v>0</v>
      </c>
      <c r="BM114" s="24">
        <f t="shared" si="170"/>
        <v>19125</v>
      </c>
      <c r="BN114" s="24">
        <f t="shared" si="170"/>
        <v>0</v>
      </c>
      <c r="BO114" s="24">
        <f t="shared" si="170"/>
        <v>7888</v>
      </c>
      <c r="BP114" s="24">
        <f t="shared" si="170"/>
        <v>405627</v>
      </c>
    </row>
    <row r="115" spans="1:68" ht="21" customHeight="1">
      <c r="A115" s="857" t="s">
        <v>194</v>
      </c>
      <c r="B115" s="648" t="s">
        <v>197</v>
      </c>
      <c r="C115" s="648" t="s">
        <v>189</v>
      </c>
      <c r="D115" s="157" t="s">
        <v>190</v>
      </c>
      <c r="E115" s="313">
        <v>172</v>
      </c>
      <c r="F115" s="671" t="s">
        <v>210</v>
      </c>
      <c r="G115" s="8">
        <f t="shared" si="145"/>
        <v>283.88400000000001</v>
      </c>
      <c r="H115" s="8">
        <f t="shared" si="148"/>
        <v>0</v>
      </c>
      <c r="I115" s="8">
        <f t="shared" ref="I115:I120" si="171">G115+H115</f>
        <v>283.88400000000001</v>
      </c>
      <c r="J115" s="451">
        <f t="shared" si="165"/>
        <v>2.407</v>
      </c>
      <c r="K115" s="8">
        <f t="shared" si="149"/>
        <v>0</v>
      </c>
      <c r="L115" s="8">
        <f t="shared" si="150"/>
        <v>0</v>
      </c>
      <c r="M115" s="8">
        <f t="shared" si="151"/>
        <v>0</v>
      </c>
      <c r="N115" s="11">
        <f t="shared" si="152"/>
        <v>0</v>
      </c>
      <c r="O115" s="11">
        <f t="shared" si="155"/>
        <v>2</v>
      </c>
      <c r="P115" s="453">
        <f t="shared" si="133"/>
        <v>1.0349999999999999</v>
      </c>
      <c r="Q115" s="8">
        <f t="shared" ref="Q115:Q120" si="172">P115+O115+N115+M115+L115+K115+J115+I115</f>
        <v>289.32600000000002</v>
      </c>
      <c r="R115" s="8">
        <f t="shared" si="153"/>
        <v>0</v>
      </c>
      <c r="S115" s="8">
        <f t="shared" si="154"/>
        <v>0</v>
      </c>
      <c r="T115" s="627">
        <f t="shared" si="141"/>
        <v>289.32600000000002</v>
      </c>
      <c r="U115" s="671" t="s">
        <v>210</v>
      </c>
      <c r="V115" s="15">
        <v>37502</v>
      </c>
      <c r="W115" s="15">
        <f>ROUND(V115*0.302,0)</f>
        <v>11326</v>
      </c>
      <c r="X115" s="15"/>
      <c r="Y115" s="15"/>
      <c r="Z115" s="15"/>
      <c r="AA115" s="15"/>
      <c r="AB115" s="15"/>
      <c r="AC115" s="15"/>
      <c r="AD115" s="15">
        <v>295</v>
      </c>
      <c r="AE115" s="15"/>
      <c r="AF115" s="15">
        <v>30</v>
      </c>
      <c r="AG115" s="15">
        <v>89</v>
      </c>
      <c r="AH115" s="15"/>
      <c r="AI115" s="15"/>
      <c r="AJ115" s="15"/>
      <c r="AK115" s="15">
        <v>178</v>
      </c>
      <c r="AL115" s="15">
        <f t="shared" si="147"/>
        <v>592</v>
      </c>
      <c r="AM115" s="15"/>
      <c r="AN115" s="15"/>
      <c r="AO115" s="15"/>
      <c r="AP115" s="15"/>
      <c r="AQ115" s="15"/>
      <c r="AR115" s="705" t="s">
        <v>210</v>
      </c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>
        <f>ROUND(E115*2,0)</f>
        <v>344</v>
      </c>
      <c r="BG115" s="15"/>
      <c r="BH115" s="15">
        <f t="shared" si="167"/>
        <v>49764</v>
      </c>
      <c r="BI115" s="447">
        <f t="shared" si="137"/>
        <v>289.33</v>
      </c>
      <c r="BJ115" s="76">
        <f t="shared" ref="BJ115:BK119" si="173">V115+X115</f>
        <v>37502</v>
      </c>
      <c r="BK115" s="76">
        <f t="shared" si="173"/>
        <v>11326</v>
      </c>
      <c r="BL115" s="76">
        <f>Z115+AB115+AC115+AA115</f>
        <v>0</v>
      </c>
      <c r="BM115" s="76">
        <f>BF115</f>
        <v>344</v>
      </c>
      <c r="BN115" s="76">
        <f>BE115</f>
        <v>0</v>
      </c>
      <c r="BO115" s="76">
        <f>BG115+AL115+AM115+AN115+AO115+AP115+AQ115+AS115+AT115+AU115+AV115+AW115+AX115+AY115+AZ115+BA115+BB115+BC115+BD115</f>
        <v>592</v>
      </c>
      <c r="BP115" s="92">
        <f>SUM(BJ115:BO115)</f>
        <v>49764</v>
      </c>
    </row>
    <row r="116" spans="1:68" ht="37.5" customHeight="1">
      <c r="A116" s="858"/>
      <c r="B116" s="849"/>
      <c r="C116" s="849"/>
      <c r="D116" s="157" t="s">
        <v>191</v>
      </c>
      <c r="E116" s="313">
        <v>183</v>
      </c>
      <c r="F116" s="829"/>
      <c r="G116" s="8">
        <f t="shared" si="145"/>
        <v>283.88</v>
      </c>
      <c r="H116" s="8">
        <f t="shared" si="148"/>
        <v>0</v>
      </c>
      <c r="I116" s="8">
        <f t="shared" si="171"/>
        <v>283.88</v>
      </c>
      <c r="J116" s="451">
        <f t="shared" si="165"/>
        <v>2.262</v>
      </c>
      <c r="K116" s="8">
        <f t="shared" si="149"/>
        <v>0</v>
      </c>
      <c r="L116" s="8">
        <f t="shared" si="150"/>
        <v>0</v>
      </c>
      <c r="M116" s="8">
        <f t="shared" si="151"/>
        <v>0</v>
      </c>
      <c r="N116" s="11">
        <f t="shared" si="152"/>
        <v>0</v>
      </c>
      <c r="O116" s="11">
        <f t="shared" si="155"/>
        <v>9</v>
      </c>
      <c r="P116" s="453">
        <f t="shared" si="133"/>
        <v>1.0329999999999999</v>
      </c>
      <c r="Q116" s="8">
        <f t="shared" si="172"/>
        <v>296.17500000000001</v>
      </c>
      <c r="R116" s="8">
        <f t="shared" si="153"/>
        <v>0</v>
      </c>
      <c r="S116" s="8">
        <f t="shared" si="154"/>
        <v>0</v>
      </c>
      <c r="T116" s="627">
        <f t="shared" si="141"/>
        <v>296.17500000000001</v>
      </c>
      <c r="U116" s="829"/>
      <c r="V116" s="15">
        <v>39900</v>
      </c>
      <c r="W116" s="15">
        <f>ROUND(V116*0.302,0)</f>
        <v>12050</v>
      </c>
      <c r="X116" s="15"/>
      <c r="Y116" s="15"/>
      <c r="Z116" s="15"/>
      <c r="AA116" s="15"/>
      <c r="AB116" s="15"/>
      <c r="AC116" s="15"/>
      <c r="AD116" s="15">
        <v>287</v>
      </c>
      <c r="AE116" s="15"/>
      <c r="AF116" s="15">
        <v>32</v>
      </c>
      <c r="AG116" s="15">
        <v>95</v>
      </c>
      <c r="AH116" s="15"/>
      <c r="AI116" s="15"/>
      <c r="AJ116" s="15"/>
      <c r="AK116" s="15">
        <v>189</v>
      </c>
      <c r="AL116" s="15">
        <f t="shared" si="147"/>
        <v>603</v>
      </c>
      <c r="AM116" s="15"/>
      <c r="AN116" s="15"/>
      <c r="AO116" s="15"/>
      <c r="AP116" s="15"/>
      <c r="AQ116" s="15"/>
      <c r="AR116" s="827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>
        <f>ROUND(E116*9,0)</f>
        <v>1647</v>
      </c>
      <c r="BG116" s="15"/>
      <c r="BH116" s="15">
        <f t="shared" si="167"/>
        <v>54200</v>
      </c>
      <c r="BI116" s="447">
        <f>ROUND(BH116/E116,3)</f>
        <v>296.17500000000001</v>
      </c>
      <c r="BJ116" s="76">
        <f t="shared" si="173"/>
        <v>39900</v>
      </c>
      <c r="BK116" s="76">
        <f t="shared" si="173"/>
        <v>12050</v>
      </c>
      <c r="BL116" s="76">
        <f>Z116+AB116+AC116+AA116</f>
        <v>0</v>
      </c>
      <c r="BM116" s="76">
        <f>BF116</f>
        <v>1647</v>
      </c>
      <c r="BN116" s="76">
        <f>BE116</f>
        <v>0</v>
      </c>
      <c r="BO116" s="76">
        <f>BG116+AL116+AM116+AN116+AO116+AP116+AQ116+AS116+AT116+AU116+AV116+AW116+AX116+AY116+AZ116+BA116+BB116+BC116+BD116</f>
        <v>603</v>
      </c>
      <c r="BP116" s="92">
        <f>SUM(BJ116:BO116)</f>
        <v>54200</v>
      </c>
    </row>
    <row r="117" spans="1:68" ht="15" hidden="1" customHeight="1" outlineLevel="1">
      <c r="A117" s="858"/>
      <c r="B117" s="849"/>
      <c r="C117" s="849"/>
      <c r="D117" s="157" t="s">
        <v>192</v>
      </c>
      <c r="E117" s="313">
        <v>0</v>
      </c>
      <c r="F117" s="829"/>
      <c r="G117" s="8" t="e">
        <f t="shared" si="145"/>
        <v>#DIV/0!</v>
      </c>
      <c r="H117" s="8" t="e">
        <f t="shared" si="148"/>
        <v>#DIV/0!</v>
      </c>
      <c r="I117" s="8" t="e">
        <f t="shared" si="171"/>
        <v>#DIV/0!</v>
      </c>
      <c r="J117" s="451" t="e">
        <f t="shared" si="165"/>
        <v>#DIV/0!</v>
      </c>
      <c r="K117" s="8" t="e">
        <f t="shared" si="149"/>
        <v>#DIV/0!</v>
      </c>
      <c r="L117" s="8" t="e">
        <f t="shared" si="150"/>
        <v>#DIV/0!</v>
      </c>
      <c r="M117" s="8" t="e">
        <f t="shared" si="151"/>
        <v>#DIV/0!</v>
      </c>
      <c r="N117" s="11" t="e">
        <f t="shared" si="152"/>
        <v>#DIV/0!</v>
      </c>
      <c r="O117" s="11" t="e">
        <f t="shared" si="155"/>
        <v>#DIV/0!</v>
      </c>
      <c r="P117" s="453" t="e">
        <f t="shared" si="133"/>
        <v>#DIV/0!</v>
      </c>
      <c r="Q117" s="8" t="e">
        <f t="shared" si="172"/>
        <v>#DIV/0!</v>
      </c>
      <c r="R117" s="8" t="e">
        <f t="shared" si="153"/>
        <v>#DIV/0!</v>
      </c>
      <c r="S117" s="8" t="e">
        <f t="shared" si="154"/>
        <v>#DIV/0!</v>
      </c>
      <c r="T117" s="627" t="e">
        <f t="shared" si="141"/>
        <v>#DIV/0!</v>
      </c>
      <c r="U117" s="829"/>
      <c r="V117" s="15"/>
      <c r="W117" s="15">
        <f>ROUND(V117*0.302,0)</f>
        <v>0</v>
      </c>
      <c r="X117" s="15"/>
      <c r="Y117" s="15"/>
      <c r="Z117" s="15"/>
      <c r="AA117" s="15"/>
      <c r="AB117" s="15"/>
      <c r="AC117" s="15"/>
      <c r="AD117" s="15">
        <v>0</v>
      </c>
      <c r="AE117" s="15"/>
      <c r="AF117" s="15">
        <v>0</v>
      </c>
      <c r="AG117" s="15">
        <v>0</v>
      </c>
      <c r="AH117" s="15"/>
      <c r="AI117" s="15"/>
      <c r="AJ117" s="15"/>
      <c r="AK117" s="15">
        <v>0</v>
      </c>
      <c r="AL117" s="15">
        <f t="shared" si="147"/>
        <v>0</v>
      </c>
      <c r="AM117" s="15"/>
      <c r="AN117" s="15"/>
      <c r="AO117" s="15"/>
      <c r="AP117" s="15"/>
      <c r="AQ117" s="15"/>
      <c r="AR117" s="827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>
        <f>ROUND(E117*20,0)</f>
        <v>0</v>
      </c>
      <c r="BG117" s="15"/>
      <c r="BH117" s="15">
        <f t="shared" si="167"/>
        <v>0</v>
      </c>
      <c r="BI117" s="447" t="e">
        <f t="shared" si="137"/>
        <v>#DIV/0!</v>
      </c>
      <c r="BJ117" s="76">
        <v>0</v>
      </c>
      <c r="BK117" s="76">
        <f t="shared" si="173"/>
        <v>0</v>
      </c>
      <c r="BL117" s="76">
        <f>Z117+AB117+AC117+AA117</f>
        <v>0</v>
      </c>
      <c r="BM117" s="76">
        <f>BF117</f>
        <v>0</v>
      </c>
      <c r="BN117" s="76">
        <f>BE117</f>
        <v>0</v>
      </c>
      <c r="BO117" s="76">
        <f>BG117+AL117+AM117+AN117+AO117+AP117+AQ117+AS117+AT117+AU117+AV117+AW117+AX117+AY117+AZ117+BA117+BB117+BC117+BD117</f>
        <v>0</v>
      </c>
      <c r="BP117" s="92">
        <f>SUM(BJ117:BO117)</f>
        <v>0</v>
      </c>
    </row>
    <row r="118" spans="1:68" ht="15" hidden="1" customHeight="1" outlineLevel="1">
      <c r="A118" s="858"/>
      <c r="B118" s="850"/>
      <c r="C118" s="850"/>
      <c r="D118" s="157" t="s">
        <v>193</v>
      </c>
      <c r="E118" s="313">
        <v>0</v>
      </c>
      <c r="F118" s="829"/>
      <c r="G118" s="8" t="e">
        <f t="shared" si="145"/>
        <v>#DIV/0!</v>
      </c>
      <c r="H118" s="8" t="e">
        <f t="shared" si="148"/>
        <v>#DIV/0!</v>
      </c>
      <c r="I118" s="8" t="e">
        <f t="shared" si="171"/>
        <v>#DIV/0!</v>
      </c>
      <c r="J118" s="451" t="e">
        <f t="shared" si="165"/>
        <v>#DIV/0!</v>
      </c>
      <c r="K118" s="8" t="e">
        <f t="shared" si="149"/>
        <v>#DIV/0!</v>
      </c>
      <c r="L118" s="8" t="e">
        <f t="shared" si="150"/>
        <v>#DIV/0!</v>
      </c>
      <c r="M118" s="8" t="e">
        <f t="shared" si="151"/>
        <v>#DIV/0!</v>
      </c>
      <c r="N118" s="11" t="e">
        <f t="shared" si="152"/>
        <v>#DIV/0!</v>
      </c>
      <c r="O118" s="11" t="e">
        <f t="shared" si="155"/>
        <v>#DIV/0!</v>
      </c>
      <c r="P118" s="453" t="e">
        <f t="shared" si="133"/>
        <v>#DIV/0!</v>
      </c>
      <c r="Q118" s="8" t="e">
        <f t="shared" si="172"/>
        <v>#DIV/0!</v>
      </c>
      <c r="R118" s="8" t="e">
        <f t="shared" si="153"/>
        <v>#DIV/0!</v>
      </c>
      <c r="S118" s="8" t="e">
        <f t="shared" si="154"/>
        <v>#DIV/0!</v>
      </c>
      <c r="T118" s="627" t="e">
        <f t="shared" si="141"/>
        <v>#DIV/0!</v>
      </c>
      <c r="U118" s="829"/>
      <c r="V118" s="15"/>
      <c r="W118" s="15">
        <f>ROUND(V118*0.302,0)</f>
        <v>0</v>
      </c>
      <c r="X118" s="15"/>
      <c r="Y118" s="15"/>
      <c r="Z118" s="15"/>
      <c r="AA118" s="15"/>
      <c r="AB118" s="15"/>
      <c r="AC118" s="15"/>
      <c r="AD118" s="15">
        <v>0</v>
      </c>
      <c r="AE118" s="15"/>
      <c r="AF118" s="15">
        <v>0</v>
      </c>
      <c r="AG118" s="15">
        <v>0</v>
      </c>
      <c r="AH118" s="15"/>
      <c r="AI118" s="15"/>
      <c r="AJ118" s="15"/>
      <c r="AK118" s="15">
        <v>0</v>
      </c>
      <c r="AL118" s="15">
        <f t="shared" si="147"/>
        <v>0</v>
      </c>
      <c r="AM118" s="15"/>
      <c r="AN118" s="15"/>
      <c r="AO118" s="15"/>
      <c r="AP118" s="15"/>
      <c r="AQ118" s="15"/>
      <c r="AR118" s="827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>
        <f>ROUND(E118*20,0)</f>
        <v>0</v>
      </c>
      <c r="BG118" s="15"/>
      <c r="BH118" s="15">
        <f t="shared" si="167"/>
        <v>0</v>
      </c>
      <c r="BI118" s="447" t="e">
        <f t="shared" si="137"/>
        <v>#DIV/0!</v>
      </c>
      <c r="BJ118" s="76">
        <v>0</v>
      </c>
      <c r="BK118" s="76">
        <f t="shared" si="173"/>
        <v>0</v>
      </c>
      <c r="BL118" s="76">
        <f>Z118+AB118+AC118+AA118</f>
        <v>0</v>
      </c>
      <c r="BM118" s="76">
        <f>BF118</f>
        <v>0</v>
      </c>
      <c r="BN118" s="76">
        <f>BE118</f>
        <v>0</v>
      </c>
      <c r="BO118" s="76">
        <f>BG118+AL118+AM118+AN118+AO118+AP118+AQ118+AS118+AT118+AU118+AV118+AW118+AX118+AY118+AZ118+BA118+BB118+BC118+BD118</f>
        <v>0</v>
      </c>
      <c r="BP118" s="92">
        <f>SUM(BJ118:BO118)</f>
        <v>0</v>
      </c>
    </row>
    <row r="119" spans="1:68" ht="54" customHeight="1" collapsed="1">
      <c r="A119" s="859"/>
      <c r="B119" s="9" t="s">
        <v>198</v>
      </c>
      <c r="C119" s="9" t="s">
        <v>196</v>
      </c>
      <c r="D119" s="157"/>
      <c r="E119" s="313">
        <v>1242</v>
      </c>
      <c r="F119" s="830"/>
      <c r="G119" s="8">
        <f t="shared" si="145"/>
        <v>176.95500000000001</v>
      </c>
      <c r="H119" s="8">
        <f t="shared" si="148"/>
        <v>0</v>
      </c>
      <c r="I119" s="8">
        <f t="shared" si="171"/>
        <v>176.95500000000001</v>
      </c>
      <c r="J119" s="451">
        <f t="shared" si="165"/>
        <v>0.90700000000000003</v>
      </c>
      <c r="K119" s="8">
        <f t="shared" si="149"/>
        <v>0</v>
      </c>
      <c r="L119" s="8">
        <f t="shared" si="150"/>
        <v>0</v>
      </c>
      <c r="M119" s="8">
        <f t="shared" si="151"/>
        <v>0</v>
      </c>
      <c r="N119" s="11">
        <f t="shared" si="152"/>
        <v>0</v>
      </c>
      <c r="O119" s="11">
        <f t="shared" si="155"/>
        <v>2.81</v>
      </c>
      <c r="P119" s="453">
        <f t="shared" si="133"/>
        <v>0.38900000000000001</v>
      </c>
      <c r="Q119" s="8">
        <f t="shared" si="172"/>
        <v>181.06100000000001</v>
      </c>
      <c r="R119" s="8">
        <f t="shared" si="153"/>
        <v>0</v>
      </c>
      <c r="S119" s="8">
        <f t="shared" si="154"/>
        <v>0</v>
      </c>
      <c r="T119" s="627">
        <f t="shared" si="141"/>
        <v>181.06100000000001</v>
      </c>
      <c r="U119" s="830"/>
      <c r="V119" s="15">
        <f>135592+33982</f>
        <v>169574</v>
      </c>
      <c r="W119" s="15">
        <f>73580-W115-W116</f>
        <v>50204</v>
      </c>
      <c r="X119" s="15"/>
      <c r="Y119" s="15"/>
      <c r="Z119" s="15"/>
      <c r="AA119" s="15"/>
      <c r="AB119" s="15"/>
      <c r="AC119" s="15"/>
      <c r="AD119" s="15">
        <v>804</v>
      </c>
      <c r="AE119" s="15"/>
      <c r="AF119" s="15">
        <v>81</v>
      </c>
      <c r="AG119" s="15">
        <v>242</v>
      </c>
      <c r="AH119" s="15"/>
      <c r="AI119" s="15"/>
      <c r="AJ119" s="15"/>
      <c r="AK119" s="15">
        <v>483</v>
      </c>
      <c r="AL119" s="15">
        <f t="shared" si="147"/>
        <v>1610</v>
      </c>
      <c r="AM119" s="15"/>
      <c r="AN119" s="15"/>
      <c r="AO119" s="15"/>
      <c r="AP119" s="15"/>
      <c r="AQ119" s="15"/>
      <c r="AR119" s="828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>
        <f>BF120-BF115-BF116-BF117-BF118</f>
        <v>3485</v>
      </c>
      <c r="BG119" s="15"/>
      <c r="BH119" s="15">
        <f t="shared" si="167"/>
        <v>224873</v>
      </c>
      <c r="BI119" s="447">
        <f t="shared" si="137"/>
        <v>181.06</v>
      </c>
      <c r="BJ119" s="76">
        <f t="shared" si="173"/>
        <v>169574</v>
      </c>
      <c r="BK119" s="76">
        <f t="shared" si="173"/>
        <v>50204</v>
      </c>
      <c r="BL119" s="76">
        <f>Z119+AB119+AC119+AA119</f>
        <v>0</v>
      </c>
      <c r="BM119" s="76">
        <f>BF119</f>
        <v>3485</v>
      </c>
      <c r="BN119" s="76">
        <f>BE119</f>
        <v>0</v>
      </c>
      <c r="BO119" s="76">
        <f>BG119+AL119+AM119+AN119+AO119+AP119+AQ119+AS119+AT119+AU119+AV119+AW119+AX119+AY119+AZ119+BA119+BB119+BC119+BD119</f>
        <v>1610</v>
      </c>
      <c r="BP119" s="92">
        <f>SUM(BJ119:BO119)</f>
        <v>224873</v>
      </c>
    </row>
    <row r="120" spans="1:68" ht="27.75" customHeight="1">
      <c r="A120" s="109" t="s">
        <v>251</v>
      </c>
      <c r="B120" s="29"/>
      <c r="C120" s="29" t="s">
        <v>252</v>
      </c>
      <c r="D120" s="158"/>
      <c r="E120" s="32">
        <v>1951</v>
      </c>
      <c r="F120" s="159"/>
      <c r="G120" s="30">
        <f>ROUND((V120+W120)/E120,2)</f>
        <v>164.3</v>
      </c>
      <c r="H120" s="30">
        <f t="shared" si="148"/>
        <v>0</v>
      </c>
      <c r="I120" s="30">
        <f t="shared" si="171"/>
        <v>164.3</v>
      </c>
      <c r="J120" s="30">
        <f>ROUND((AL120-AK120)/E120,2)</f>
        <v>1</v>
      </c>
      <c r="K120" s="30">
        <f t="shared" si="149"/>
        <v>0</v>
      </c>
      <c r="L120" s="30">
        <f t="shared" si="150"/>
        <v>0</v>
      </c>
      <c r="M120" s="30">
        <f t="shared" si="151"/>
        <v>0</v>
      </c>
      <c r="N120" s="33">
        <f t="shared" si="152"/>
        <v>0</v>
      </c>
      <c r="O120" s="33">
        <f t="shared" si="155"/>
        <v>2.81</v>
      </c>
      <c r="P120" s="33">
        <f t="shared" si="133"/>
        <v>0.436</v>
      </c>
      <c r="Q120" s="30">
        <f t="shared" si="172"/>
        <v>168.54600000000002</v>
      </c>
      <c r="R120" s="30">
        <f t="shared" si="153"/>
        <v>0</v>
      </c>
      <c r="S120" s="30">
        <f t="shared" si="154"/>
        <v>0</v>
      </c>
      <c r="T120" s="627">
        <f t="shared" si="141"/>
        <v>168.54600000000002</v>
      </c>
      <c r="U120" s="159"/>
      <c r="V120" s="24">
        <f>SUM(V115:V119)</f>
        <v>246976</v>
      </c>
      <c r="W120" s="24">
        <f>SUM(W115:W119)</f>
        <v>73580</v>
      </c>
      <c r="X120" s="24">
        <f>SUM(X115:X119)</f>
        <v>0</v>
      </c>
      <c r="Y120" s="24">
        <f t="shared" ref="Y120:BE120" si="174">Y115+Y116+Y117+Y118+Y119</f>
        <v>0</v>
      </c>
      <c r="Z120" s="24">
        <f t="shared" si="174"/>
        <v>0</v>
      </c>
      <c r="AA120" s="24">
        <f t="shared" si="174"/>
        <v>0</v>
      </c>
      <c r="AB120" s="24">
        <f t="shared" si="174"/>
        <v>0</v>
      </c>
      <c r="AC120" s="24">
        <f t="shared" si="174"/>
        <v>0</v>
      </c>
      <c r="AD120" s="24">
        <f>SUM(AD115:AD119)</f>
        <v>1386</v>
      </c>
      <c r="AE120" s="24">
        <f t="shared" ref="AE120:AL120" si="175">SUM(AE115:AE119)</f>
        <v>0</v>
      </c>
      <c r="AF120" s="24">
        <f t="shared" si="175"/>
        <v>143</v>
      </c>
      <c r="AG120" s="24">
        <f t="shared" si="175"/>
        <v>426</v>
      </c>
      <c r="AH120" s="24">
        <f t="shared" si="175"/>
        <v>0</v>
      </c>
      <c r="AI120" s="24">
        <f t="shared" si="175"/>
        <v>0</v>
      </c>
      <c r="AJ120" s="24">
        <f t="shared" si="175"/>
        <v>0</v>
      </c>
      <c r="AK120" s="24">
        <f t="shared" si="175"/>
        <v>850</v>
      </c>
      <c r="AL120" s="24">
        <f t="shared" si="175"/>
        <v>2805</v>
      </c>
      <c r="AM120" s="24">
        <f t="shared" si="174"/>
        <v>0</v>
      </c>
      <c r="AN120" s="24">
        <f t="shared" si="174"/>
        <v>0</v>
      </c>
      <c r="AO120" s="24">
        <f t="shared" si="174"/>
        <v>0</v>
      </c>
      <c r="AP120" s="24">
        <f t="shared" si="174"/>
        <v>0</v>
      </c>
      <c r="AQ120" s="24">
        <f t="shared" si="174"/>
        <v>0</v>
      </c>
      <c r="AR120" s="24"/>
      <c r="AS120" s="24">
        <f t="shared" si="174"/>
        <v>0</v>
      </c>
      <c r="AT120" s="24">
        <f t="shared" si="174"/>
        <v>0</v>
      </c>
      <c r="AU120" s="24">
        <f t="shared" si="174"/>
        <v>0</v>
      </c>
      <c r="AV120" s="24">
        <f t="shared" si="174"/>
        <v>0</v>
      </c>
      <c r="AW120" s="24">
        <f t="shared" si="174"/>
        <v>0</v>
      </c>
      <c r="AX120" s="24">
        <f t="shared" si="174"/>
        <v>0</v>
      </c>
      <c r="AY120" s="24">
        <f t="shared" si="174"/>
        <v>0</v>
      </c>
      <c r="AZ120" s="24">
        <f t="shared" si="174"/>
        <v>0</v>
      </c>
      <c r="BA120" s="24">
        <f t="shared" si="174"/>
        <v>0</v>
      </c>
      <c r="BB120" s="24">
        <f t="shared" si="174"/>
        <v>0</v>
      </c>
      <c r="BC120" s="24">
        <f t="shared" si="174"/>
        <v>0</v>
      </c>
      <c r="BD120" s="24">
        <f t="shared" si="174"/>
        <v>0</v>
      </c>
      <c r="BE120" s="24">
        <f t="shared" si="174"/>
        <v>0</v>
      </c>
      <c r="BF120" s="24">
        <v>5476</v>
      </c>
      <c r="BG120" s="24">
        <f>BG115+BG116+BG117+BG118+BG119</f>
        <v>0</v>
      </c>
      <c r="BH120" s="24">
        <f t="shared" si="167"/>
        <v>328837</v>
      </c>
      <c r="BI120" s="447">
        <f t="shared" si="137"/>
        <v>168.55</v>
      </c>
      <c r="BJ120" s="24">
        <f t="shared" ref="BJ120:BP120" si="176">BJ115+BJ116+BJ117+BJ118+BJ119</f>
        <v>246976</v>
      </c>
      <c r="BK120" s="24">
        <f>BK115+BK116+BK119</f>
        <v>73580</v>
      </c>
      <c r="BL120" s="24">
        <f t="shared" si="176"/>
        <v>0</v>
      </c>
      <c r="BM120" s="24">
        <f t="shared" si="176"/>
        <v>5476</v>
      </c>
      <c r="BN120" s="24">
        <f t="shared" si="176"/>
        <v>0</v>
      </c>
      <c r="BO120" s="24">
        <f t="shared" si="176"/>
        <v>2805</v>
      </c>
      <c r="BP120" s="24">
        <f t="shared" si="176"/>
        <v>328837</v>
      </c>
    </row>
    <row r="121" spans="1:68" ht="15.75" customHeight="1">
      <c r="A121" s="857" t="s">
        <v>194</v>
      </c>
      <c r="B121" s="648" t="s">
        <v>197</v>
      </c>
      <c r="C121" s="648" t="s">
        <v>189</v>
      </c>
      <c r="D121" s="157" t="s">
        <v>190</v>
      </c>
      <c r="E121" s="313">
        <v>685</v>
      </c>
      <c r="F121" s="851" t="s">
        <v>211</v>
      </c>
      <c r="G121" s="8">
        <f t="shared" ref="G121:G131" si="177">ROUND((V121+W121)/E121,3)</f>
        <v>242.971</v>
      </c>
      <c r="H121" s="8">
        <f t="shared" si="148"/>
        <v>0</v>
      </c>
      <c r="I121" s="8">
        <f t="shared" ref="I121:I126" si="178">G121+H121</f>
        <v>242.971</v>
      </c>
      <c r="J121" s="451">
        <f>ROUND((AL121-AK121)/E121,3)</f>
        <v>2.415</v>
      </c>
      <c r="K121" s="8">
        <f t="shared" si="149"/>
        <v>0</v>
      </c>
      <c r="L121" s="8">
        <f t="shared" si="150"/>
        <v>0</v>
      </c>
      <c r="M121" s="8">
        <f t="shared" si="151"/>
        <v>0</v>
      </c>
      <c r="N121" s="11">
        <f t="shared" si="152"/>
        <v>0</v>
      </c>
      <c r="O121" s="11">
        <f t="shared" si="155"/>
        <v>2</v>
      </c>
      <c r="P121" s="453">
        <f t="shared" ref="P121:P146" si="179">ROUND(AK121/E121,3)</f>
        <v>1.0349999999999999</v>
      </c>
      <c r="Q121" s="8">
        <f t="shared" ref="Q121:Q126" si="180">P121+O121+N121+M121+L121+K121+J121+I121</f>
        <v>248.42099999999999</v>
      </c>
      <c r="R121" s="8">
        <f t="shared" si="153"/>
        <v>0</v>
      </c>
      <c r="S121" s="8">
        <f t="shared" si="154"/>
        <v>0</v>
      </c>
      <c r="T121" s="627">
        <f t="shared" si="141"/>
        <v>248.42099999999999</v>
      </c>
      <c r="U121" s="671" t="s">
        <v>211</v>
      </c>
      <c r="V121" s="15">
        <v>127830</v>
      </c>
      <c r="W121" s="15">
        <f>ROUND(V121*0.302,0)</f>
        <v>38605</v>
      </c>
      <c r="X121" s="15"/>
      <c r="Y121" s="15"/>
      <c r="Z121" s="15"/>
      <c r="AA121" s="15"/>
      <c r="AB121" s="15"/>
      <c r="AC121" s="15"/>
      <c r="AD121" s="15">
        <v>1182</v>
      </c>
      <c r="AE121" s="15"/>
      <c r="AF121" s="15">
        <v>118</v>
      </c>
      <c r="AG121" s="15">
        <v>354</v>
      </c>
      <c r="AH121" s="15"/>
      <c r="AI121" s="15"/>
      <c r="AJ121" s="15"/>
      <c r="AK121" s="15">
        <v>709</v>
      </c>
      <c r="AL121" s="15">
        <f t="shared" si="147"/>
        <v>2363</v>
      </c>
      <c r="AM121" s="15"/>
      <c r="AN121" s="15"/>
      <c r="AO121" s="15"/>
      <c r="AP121" s="15"/>
      <c r="AQ121" s="15"/>
      <c r="AR121" s="705" t="s">
        <v>211</v>
      </c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>
        <f>ROUND(E121*2,0)</f>
        <v>1370</v>
      </c>
      <c r="BG121" s="15"/>
      <c r="BH121" s="15">
        <f t="shared" si="167"/>
        <v>170168</v>
      </c>
      <c r="BI121" s="447">
        <f t="shared" si="137"/>
        <v>248.42</v>
      </c>
      <c r="BJ121" s="76">
        <f t="shared" ref="BJ121:BK125" si="181">V121+X121</f>
        <v>127830</v>
      </c>
      <c r="BK121" s="76">
        <f t="shared" si="181"/>
        <v>38605</v>
      </c>
      <c r="BL121" s="76">
        <f>Z121+AB121+AC121+AA121</f>
        <v>0</v>
      </c>
      <c r="BM121" s="76">
        <f>BF121</f>
        <v>1370</v>
      </c>
      <c r="BN121" s="76">
        <f>BE121</f>
        <v>0</v>
      </c>
      <c r="BO121" s="76">
        <f>BG121+AL121+AM121+AN121+AO121+AP121+AQ121+AS121+AT121+AU121+AV121+AW121+AX121+AY121+AZ121+BA121+BB121+BC121+BD121</f>
        <v>2363</v>
      </c>
      <c r="BP121" s="92">
        <f>SUM(BJ121:BO121)</f>
        <v>170168</v>
      </c>
    </row>
    <row r="122" spans="1:68" ht="15.75" customHeight="1">
      <c r="A122" s="858"/>
      <c r="B122" s="849"/>
      <c r="C122" s="849"/>
      <c r="D122" s="157" t="s">
        <v>191</v>
      </c>
      <c r="E122" s="313">
        <v>183</v>
      </c>
      <c r="F122" s="852"/>
      <c r="G122" s="8">
        <f t="shared" si="177"/>
        <v>242.96700000000001</v>
      </c>
      <c r="H122" s="8">
        <f t="shared" si="148"/>
        <v>0</v>
      </c>
      <c r="I122" s="8">
        <f t="shared" si="178"/>
        <v>242.96700000000001</v>
      </c>
      <c r="J122" s="451">
        <f>ROUND((AL122-AK122)/E122,3)</f>
        <v>7.2460000000000004</v>
      </c>
      <c r="K122" s="8">
        <f t="shared" si="149"/>
        <v>0</v>
      </c>
      <c r="L122" s="8">
        <f t="shared" si="150"/>
        <v>0</v>
      </c>
      <c r="M122" s="8">
        <f t="shared" si="151"/>
        <v>0</v>
      </c>
      <c r="N122" s="11">
        <f t="shared" si="152"/>
        <v>0</v>
      </c>
      <c r="O122" s="11">
        <f t="shared" si="155"/>
        <v>9</v>
      </c>
      <c r="P122" s="453">
        <f t="shared" si="179"/>
        <v>3.1040000000000001</v>
      </c>
      <c r="Q122" s="8">
        <f t="shared" si="180"/>
        <v>262.31700000000001</v>
      </c>
      <c r="R122" s="8">
        <f t="shared" si="153"/>
        <v>0</v>
      </c>
      <c r="S122" s="8">
        <f t="shared" si="154"/>
        <v>0</v>
      </c>
      <c r="T122" s="627">
        <f t="shared" si="141"/>
        <v>262.31700000000001</v>
      </c>
      <c r="U122" s="829"/>
      <c r="V122" s="15">
        <v>34150</v>
      </c>
      <c r="W122" s="15">
        <f>ROUND(V122*0.302,0)</f>
        <v>10313</v>
      </c>
      <c r="X122" s="15"/>
      <c r="Y122" s="15"/>
      <c r="Z122" s="15"/>
      <c r="AA122" s="15"/>
      <c r="AB122" s="15"/>
      <c r="AC122" s="15"/>
      <c r="AD122" s="15">
        <v>947</v>
      </c>
      <c r="AE122" s="15"/>
      <c r="AF122" s="15">
        <v>95</v>
      </c>
      <c r="AG122" s="15">
        <v>284</v>
      </c>
      <c r="AH122" s="15"/>
      <c r="AI122" s="15"/>
      <c r="AJ122" s="15"/>
      <c r="AK122" s="15">
        <v>568</v>
      </c>
      <c r="AL122" s="15">
        <f t="shared" si="147"/>
        <v>1894</v>
      </c>
      <c r="AM122" s="15"/>
      <c r="AN122" s="15"/>
      <c r="AO122" s="15"/>
      <c r="AP122" s="15"/>
      <c r="AQ122" s="15"/>
      <c r="AR122" s="827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>
        <f>ROUND(E122*9,0)</f>
        <v>1647</v>
      </c>
      <c r="BG122" s="15"/>
      <c r="BH122" s="15">
        <f t="shared" si="167"/>
        <v>48004</v>
      </c>
      <c r="BI122" s="447">
        <f t="shared" ref="BI122:BI153" si="182">ROUND(BH122/E122,2)</f>
        <v>262.32</v>
      </c>
      <c r="BJ122" s="76">
        <f t="shared" si="181"/>
        <v>34150</v>
      </c>
      <c r="BK122" s="76">
        <f t="shared" si="181"/>
        <v>10313</v>
      </c>
      <c r="BL122" s="76">
        <f>Z122+AB122+AC122+AA122</f>
        <v>0</v>
      </c>
      <c r="BM122" s="76">
        <f>BF122</f>
        <v>1647</v>
      </c>
      <c r="BN122" s="76">
        <f>BE122</f>
        <v>0</v>
      </c>
      <c r="BO122" s="76">
        <f>BG122+AL122+AM122+AN122+AO122+AP122+AQ122+AS122+AT122+AU122+AV122+AW122+AX122+AY122+AZ122+BA122+BB122+BC122+BD122</f>
        <v>1894</v>
      </c>
      <c r="BP122" s="92">
        <f>SUM(BJ122:BO122)</f>
        <v>48004</v>
      </c>
    </row>
    <row r="123" spans="1:68" ht="15.75" hidden="1" customHeight="1" outlineLevel="1">
      <c r="A123" s="858"/>
      <c r="B123" s="849"/>
      <c r="C123" s="849"/>
      <c r="D123" s="157" t="s">
        <v>192</v>
      </c>
      <c r="E123" s="313"/>
      <c r="F123" s="852"/>
      <c r="G123" s="8" t="e">
        <f t="shared" si="177"/>
        <v>#DIV/0!</v>
      </c>
      <c r="H123" s="8" t="e">
        <f t="shared" si="148"/>
        <v>#DIV/0!</v>
      </c>
      <c r="I123" s="8" t="e">
        <f t="shared" si="178"/>
        <v>#DIV/0!</v>
      </c>
      <c r="J123" s="451" t="e">
        <f>ROUND((AL123-AK123)/E123,3)</f>
        <v>#DIV/0!</v>
      </c>
      <c r="K123" s="8" t="e">
        <f t="shared" si="149"/>
        <v>#DIV/0!</v>
      </c>
      <c r="L123" s="8" t="e">
        <f t="shared" si="150"/>
        <v>#DIV/0!</v>
      </c>
      <c r="M123" s="8" t="e">
        <f t="shared" si="151"/>
        <v>#DIV/0!</v>
      </c>
      <c r="N123" s="11" t="e">
        <f t="shared" si="152"/>
        <v>#DIV/0!</v>
      </c>
      <c r="O123" s="11" t="e">
        <f t="shared" si="155"/>
        <v>#DIV/0!</v>
      </c>
      <c r="P123" s="453" t="e">
        <f t="shared" si="179"/>
        <v>#DIV/0!</v>
      </c>
      <c r="Q123" s="8" t="e">
        <f t="shared" si="180"/>
        <v>#DIV/0!</v>
      </c>
      <c r="R123" s="8" t="e">
        <f t="shared" si="153"/>
        <v>#DIV/0!</v>
      </c>
      <c r="S123" s="8" t="e">
        <f t="shared" si="154"/>
        <v>#DIV/0!</v>
      </c>
      <c r="T123" s="627" t="e">
        <f t="shared" si="141"/>
        <v>#DIV/0!</v>
      </c>
      <c r="U123" s="829"/>
      <c r="V123" s="15">
        <v>0</v>
      </c>
      <c r="W123" s="15">
        <f>ROUND(V123*0.302,0)</f>
        <v>0</v>
      </c>
      <c r="X123" s="15"/>
      <c r="Y123" s="15"/>
      <c r="Z123" s="15"/>
      <c r="AA123" s="15"/>
      <c r="AB123" s="15"/>
      <c r="AC123" s="15"/>
      <c r="AD123" s="15">
        <v>0</v>
      </c>
      <c r="AE123" s="15"/>
      <c r="AF123" s="15">
        <v>0</v>
      </c>
      <c r="AG123" s="15">
        <v>0</v>
      </c>
      <c r="AH123" s="15"/>
      <c r="AI123" s="15"/>
      <c r="AJ123" s="15"/>
      <c r="AK123" s="15">
        <v>0</v>
      </c>
      <c r="AL123" s="15">
        <f t="shared" si="147"/>
        <v>0</v>
      </c>
      <c r="AM123" s="15"/>
      <c r="AN123" s="15"/>
      <c r="AO123" s="15"/>
      <c r="AP123" s="15"/>
      <c r="AQ123" s="15"/>
      <c r="AR123" s="827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>
        <f>ROUND(E123*20,0)</f>
        <v>0</v>
      </c>
      <c r="BG123" s="15"/>
      <c r="BH123" s="15">
        <f t="shared" si="167"/>
        <v>0</v>
      </c>
      <c r="BI123" s="447" t="e">
        <f t="shared" si="182"/>
        <v>#DIV/0!</v>
      </c>
      <c r="BJ123" s="76">
        <f t="shared" si="181"/>
        <v>0</v>
      </c>
      <c r="BK123" s="76">
        <f t="shared" si="181"/>
        <v>0</v>
      </c>
      <c r="BL123" s="76">
        <f>Z123+AB123+AC123+AA123</f>
        <v>0</v>
      </c>
      <c r="BM123" s="76">
        <f>BF123</f>
        <v>0</v>
      </c>
      <c r="BN123" s="76">
        <f>BE123</f>
        <v>0</v>
      </c>
      <c r="BO123" s="76">
        <f>BG123+AL123+AM123+AN123+AO123+AP123+AQ123+AS123+AT123+AU123+AV123+AW123+AX123+AY123+AZ123+BA123+BB123+BC123+BD123</f>
        <v>0</v>
      </c>
      <c r="BP123" s="92">
        <f>SUM(BJ123:BO123)</f>
        <v>0</v>
      </c>
    </row>
    <row r="124" spans="1:68" ht="27.75" customHeight="1" collapsed="1">
      <c r="A124" s="858"/>
      <c r="B124" s="850"/>
      <c r="C124" s="850"/>
      <c r="D124" s="157" t="s">
        <v>193</v>
      </c>
      <c r="E124" s="313">
        <v>279</v>
      </c>
      <c r="F124" s="852"/>
      <c r="G124" s="8">
        <f t="shared" si="177"/>
        <v>242.97499999999999</v>
      </c>
      <c r="H124" s="8">
        <f t="shared" si="148"/>
        <v>0</v>
      </c>
      <c r="I124" s="8">
        <f t="shared" si="178"/>
        <v>242.97499999999999</v>
      </c>
      <c r="J124" s="451">
        <f>ROUND((AL124-AK124)/E124,3)</f>
        <v>2.4159999999999999</v>
      </c>
      <c r="K124" s="8">
        <f t="shared" si="149"/>
        <v>0</v>
      </c>
      <c r="L124" s="8">
        <f t="shared" si="150"/>
        <v>0</v>
      </c>
      <c r="M124" s="8">
        <f t="shared" si="151"/>
        <v>0</v>
      </c>
      <c r="N124" s="11">
        <f t="shared" si="152"/>
        <v>0</v>
      </c>
      <c r="O124" s="11">
        <f t="shared" si="155"/>
        <v>20</v>
      </c>
      <c r="P124" s="453">
        <f t="shared" si="179"/>
        <v>1.036</v>
      </c>
      <c r="Q124" s="8">
        <f t="shared" si="180"/>
        <v>266.42700000000002</v>
      </c>
      <c r="R124" s="8">
        <f t="shared" si="153"/>
        <v>0</v>
      </c>
      <c r="S124" s="8">
        <f t="shared" si="154"/>
        <v>0</v>
      </c>
      <c r="T124" s="627">
        <f t="shared" si="141"/>
        <v>266.42700000000002</v>
      </c>
      <c r="U124" s="829"/>
      <c r="V124" s="15">
        <v>52066</v>
      </c>
      <c r="W124" s="15">
        <f>ROUND(V124*0.302,0)</f>
        <v>15724</v>
      </c>
      <c r="X124" s="15"/>
      <c r="Y124" s="15"/>
      <c r="Z124" s="15"/>
      <c r="AA124" s="15"/>
      <c r="AB124" s="15"/>
      <c r="AC124" s="15"/>
      <c r="AD124" s="15">
        <v>482</v>
      </c>
      <c r="AE124" s="15"/>
      <c r="AF124" s="15">
        <v>48</v>
      </c>
      <c r="AG124" s="15">
        <v>144</v>
      </c>
      <c r="AH124" s="15"/>
      <c r="AI124" s="15"/>
      <c r="AJ124" s="15"/>
      <c r="AK124" s="15">
        <v>289</v>
      </c>
      <c r="AL124" s="15">
        <f t="shared" si="147"/>
        <v>963</v>
      </c>
      <c r="AM124" s="15"/>
      <c r="AN124" s="15"/>
      <c r="AO124" s="15"/>
      <c r="AP124" s="15"/>
      <c r="AQ124" s="15"/>
      <c r="AR124" s="827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>
        <f>ROUND(E124*20,0)</f>
        <v>5580</v>
      </c>
      <c r="BG124" s="15"/>
      <c r="BH124" s="15">
        <f t="shared" si="167"/>
        <v>74333</v>
      </c>
      <c r="BI124" s="447">
        <f>ROUND(BH124/E124,3)</f>
        <v>266.42700000000002</v>
      </c>
      <c r="BJ124" s="76">
        <f t="shared" si="181"/>
        <v>52066</v>
      </c>
      <c r="BK124" s="76">
        <f t="shared" si="181"/>
        <v>15724</v>
      </c>
      <c r="BL124" s="76">
        <f>Z124+AB124+AC124+AA124</f>
        <v>0</v>
      </c>
      <c r="BM124" s="76">
        <f>BF124</f>
        <v>5580</v>
      </c>
      <c r="BN124" s="76">
        <f>BE124</f>
        <v>0</v>
      </c>
      <c r="BO124" s="76">
        <f>BG124+AL124+AM124+AN124+AO124+AP124+AQ124+AS124+AT124+AU124+AV124+AW124+AX124+AY124+AZ124+BA124+BB124+BC124+BD124</f>
        <v>963</v>
      </c>
      <c r="BP124" s="92">
        <f>SUM(BJ124:BO124)</f>
        <v>74333</v>
      </c>
    </row>
    <row r="125" spans="1:68" ht="51.75" customHeight="1">
      <c r="A125" s="859"/>
      <c r="B125" s="9" t="s">
        <v>198</v>
      </c>
      <c r="C125" s="9" t="s">
        <v>196</v>
      </c>
      <c r="D125" s="191"/>
      <c r="E125" s="313">
        <v>4229</v>
      </c>
      <c r="F125" s="853"/>
      <c r="G125" s="8">
        <f t="shared" si="177"/>
        <v>143.982</v>
      </c>
      <c r="H125" s="8">
        <f t="shared" si="148"/>
        <v>0</v>
      </c>
      <c r="I125" s="8">
        <f t="shared" si="178"/>
        <v>143.982</v>
      </c>
      <c r="J125" s="451">
        <f>ROUND((AL125-AK125)/E125,3)</f>
        <v>1.111</v>
      </c>
      <c r="K125" s="8">
        <f t="shared" si="149"/>
        <v>0</v>
      </c>
      <c r="L125" s="8">
        <f t="shared" si="150"/>
        <v>0</v>
      </c>
      <c r="M125" s="8">
        <f t="shared" si="151"/>
        <v>0</v>
      </c>
      <c r="N125" s="11">
        <f t="shared" si="152"/>
        <v>0</v>
      </c>
      <c r="O125" s="11">
        <f>ROUND(BF125/E125,3)</f>
        <v>2.0750000000000002</v>
      </c>
      <c r="P125" s="453">
        <f t="shared" si="179"/>
        <v>0.48699999999999999</v>
      </c>
      <c r="Q125" s="8">
        <f t="shared" si="180"/>
        <v>147.655</v>
      </c>
      <c r="R125" s="8">
        <f t="shared" si="153"/>
        <v>0</v>
      </c>
      <c r="S125" s="8">
        <f t="shared" si="154"/>
        <v>0</v>
      </c>
      <c r="T125" s="627">
        <f t="shared" si="141"/>
        <v>147.655</v>
      </c>
      <c r="U125" s="830"/>
      <c r="V125" s="15">
        <f>681700-V121-V122-V124</f>
        <v>467654</v>
      </c>
      <c r="W125" s="15">
        <f>205888-W121-W122-W124</f>
        <v>141246</v>
      </c>
      <c r="X125" s="15"/>
      <c r="Y125" s="15"/>
      <c r="Z125" s="15"/>
      <c r="AA125" s="15"/>
      <c r="AB125" s="15"/>
      <c r="AC125" s="15"/>
      <c r="AD125" s="15">
        <v>3325</v>
      </c>
      <c r="AE125" s="15"/>
      <c r="AF125" s="15">
        <v>343</v>
      </c>
      <c r="AG125" s="15">
        <v>1030</v>
      </c>
      <c r="AH125" s="15"/>
      <c r="AI125" s="15"/>
      <c r="AJ125" s="15"/>
      <c r="AK125" s="15">
        <v>2060</v>
      </c>
      <c r="AL125" s="15">
        <f t="shared" si="147"/>
        <v>6758</v>
      </c>
      <c r="AM125" s="15"/>
      <c r="AN125" s="15"/>
      <c r="AO125" s="15"/>
      <c r="AP125" s="15"/>
      <c r="AQ125" s="15"/>
      <c r="AR125" s="828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>
        <f>BF126-BF121-BF122-BF123-BF124</f>
        <v>8776</v>
      </c>
      <c r="BG125" s="15"/>
      <c r="BH125" s="15">
        <f t="shared" si="167"/>
        <v>624434</v>
      </c>
      <c r="BI125" s="447">
        <f t="shared" si="182"/>
        <v>147.66</v>
      </c>
      <c r="BJ125" s="76">
        <f t="shared" si="181"/>
        <v>467654</v>
      </c>
      <c r="BK125" s="76">
        <f t="shared" si="181"/>
        <v>141246</v>
      </c>
      <c r="BL125" s="76">
        <f>Z125+AB125+AC125+AA125</f>
        <v>0</v>
      </c>
      <c r="BM125" s="76">
        <f>BF125</f>
        <v>8776</v>
      </c>
      <c r="BN125" s="76">
        <f>BE125</f>
        <v>0</v>
      </c>
      <c r="BO125" s="76">
        <f>BG125+AL125+AM125+AN125+AO125+AP125+AQ125+AS125+AT125+AU125+AV125+AW125+AX125+AY125+AZ125+BA125+BB125+BC125+BD125</f>
        <v>6758</v>
      </c>
      <c r="BP125" s="92">
        <f>SUM(BJ125:BO125)</f>
        <v>624434</v>
      </c>
    </row>
    <row r="126" spans="1:68" ht="27.75" customHeight="1">
      <c r="A126" s="109" t="s">
        <v>251</v>
      </c>
      <c r="B126" s="29"/>
      <c r="C126" s="29" t="s">
        <v>252</v>
      </c>
      <c r="D126" s="158"/>
      <c r="E126" s="32">
        <v>6523</v>
      </c>
      <c r="F126" s="159"/>
      <c r="G126" s="30">
        <f t="shared" si="177"/>
        <v>136.071</v>
      </c>
      <c r="H126" s="30">
        <f t="shared" si="148"/>
        <v>0</v>
      </c>
      <c r="I126" s="30">
        <f t="shared" si="178"/>
        <v>136.071</v>
      </c>
      <c r="J126" s="30">
        <f>ROUND((AL126-AK126)/E126,2)</f>
        <v>1.28</v>
      </c>
      <c r="K126" s="30">
        <f t="shared" si="149"/>
        <v>0</v>
      </c>
      <c r="L126" s="30">
        <f t="shared" si="150"/>
        <v>0</v>
      </c>
      <c r="M126" s="30">
        <f t="shared" si="151"/>
        <v>0</v>
      </c>
      <c r="N126" s="33">
        <f t="shared" si="152"/>
        <v>0</v>
      </c>
      <c r="O126" s="33">
        <f t="shared" ref="O126:O131" si="183">ROUND(BF126/E126,3)</f>
        <v>2.6629999999999998</v>
      </c>
      <c r="P126" s="33">
        <f t="shared" si="179"/>
        <v>0.55600000000000005</v>
      </c>
      <c r="Q126" s="30">
        <f t="shared" si="180"/>
        <v>140.57</v>
      </c>
      <c r="R126" s="30">
        <f t="shared" si="153"/>
        <v>0</v>
      </c>
      <c r="S126" s="30">
        <f t="shared" si="154"/>
        <v>0</v>
      </c>
      <c r="T126" s="627">
        <f t="shared" si="141"/>
        <v>140.57</v>
      </c>
      <c r="U126" s="159"/>
      <c r="V126" s="24">
        <f>SUM(V121:V125)</f>
        <v>681700</v>
      </c>
      <c r="W126" s="24">
        <f>SUM(W121:W125)</f>
        <v>205888</v>
      </c>
      <c r="X126" s="24">
        <f t="shared" ref="X126:BE126" si="184">X121+X122+X123+X124+X125</f>
        <v>0</v>
      </c>
      <c r="Y126" s="24">
        <f t="shared" si="184"/>
        <v>0</v>
      </c>
      <c r="Z126" s="24">
        <f t="shared" si="184"/>
        <v>0</v>
      </c>
      <c r="AA126" s="24">
        <f t="shared" si="184"/>
        <v>0</v>
      </c>
      <c r="AB126" s="24">
        <f t="shared" si="184"/>
        <v>0</v>
      </c>
      <c r="AC126" s="24">
        <f t="shared" si="184"/>
        <v>0</v>
      </c>
      <c r="AD126" s="24">
        <f t="shared" si="184"/>
        <v>5936</v>
      </c>
      <c r="AE126" s="24">
        <f t="shared" si="184"/>
        <v>0</v>
      </c>
      <c r="AF126" s="24">
        <f t="shared" si="184"/>
        <v>604</v>
      </c>
      <c r="AG126" s="24">
        <f t="shared" si="184"/>
        <v>1812</v>
      </c>
      <c r="AH126" s="24">
        <f t="shared" si="184"/>
        <v>0</v>
      </c>
      <c r="AI126" s="24">
        <f t="shared" si="184"/>
        <v>0</v>
      </c>
      <c r="AJ126" s="24">
        <f t="shared" si="184"/>
        <v>0</v>
      </c>
      <c r="AK126" s="24">
        <f t="shared" si="184"/>
        <v>3626</v>
      </c>
      <c r="AL126" s="24">
        <f t="shared" si="184"/>
        <v>11978</v>
      </c>
      <c r="AM126" s="24">
        <f t="shared" si="184"/>
        <v>0</v>
      </c>
      <c r="AN126" s="24">
        <f t="shared" si="184"/>
        <v>0</v>
      </c>
      <c r="AO126" s="24">
        <f t="shared" si="184"/>
        <v>0</v>
      </c>
      <c r="AP126" s="24">
        <f t="shared" si="184"/>
        <v>0</v>
      </c>
      <c r="AQ126" s="24">
        <f t="shared" si="184"/>
        <v>0</v>
      </c>
      <c r="AR126" s="24"/>
      <c r="AS126" s="24">
        <f t="shared" si="184"/>
        <v>0</v>
      </c>
      <c r="AT126" s="24">
        <f t="shared" si="184"/>
        <v>0</v>
      </c>
      <c r="AU126" s="24">
        <f t="shared" si="184"/>
        <v>0</v>
      </c>
      <c r="AV126" s="24">
        <f t="shared" si="184"/>
        <v>0</v>
      </c>
      <c r="AW126" s="24">
        <f t="shared" si="184"/>
        <v>0</v>
      </c>
      <c r="AX126" s="24">
        <f t="shared" si="184"/>
        <v>0</v>
      </c>
      <c r="AY126" s="24">
        <f t="shared" si="184"/>
        <v>0</v>
      </c>
      <c r="AZ126" s="24">
        <f t="shared" si="184"/>
        <v>0</v>
      </c>
      <c r="BA126" s="24">
        <f t="shared" si="184"/>
        <v>0</v>
      </c>
      <c r="BB126" s="24">
        <f t="shared" si="184"/>
        <v>0</v>
      </c>
      <c r="BC126" s="24">
        <f t="shared" si="184"/>
        <v>0</v>
      </c>
      <c r="BD126" s="24">
        <f t="shared" si="184"/>
        <v>0</v>
      </c>
      <c r="BE126" s="24">
        <f t="shared" si="184"/>
        <v>0</v>
      </c>
      <c r="BF126" s="24">
        <v>17373</v>
      </c>
      <c r="BG126" s="24">
        <f>BG121+BG122+BG123+BG124+BG125</f>
        <v>0</v>
      </c>
      <c r="BH126" s="24">
        <f t="shared" si="167"/>
        <v>916939</v>
      </c>
      <c r="BI126" s="447">
        <f t="shared" si="182"/>
        <v>140.57</v>
      </c>
      <c r="BJ126" s="24">
        <f t="shared" ref="BJ126:BP126" si="185">BJ121+BJ122+BJ123+BJ124+BJ125</f>
        <v>681700</v>
      </c>
      <c r="BK126" s="24">
        <f t="shared" si="185"/>
        <v>205888</v>
      </c>
      <c r="BL126" s="24">
        <f t="shared" si="185"/>
        <v>0</v>
      </c>
      <c r="BM126" s="24">
        <f t="shared" si="185"/>
        <v>17373</v>
      </c>
      <c r="BN126" s="24">
        <f t="shared" si="185"/>
        <v>0</v>
      </c>
      <c r="BO126" s="24">
        <f t="shared" si="185"/>
        <v>11978</v>
      </c>
      <c r="BP126" s="24">
        <f t="shared" si="185"/>
        <v>916939</v>
      </c>
    </row>
    <row r="127" spans="1:68" ht="18" customHeight="1">
      <c r="A127" s="857" t="s">
        <v>194</v>
      </c>
      <c r="B127" s="648" t="s">
        <v>197</v>
      </c>
      <c r="C127" s="648" t="s">
        <v>189</v>
      </c>
      <c r="D127" s="157" t="s">
        <v>190</v>
      </c>
      <c r="E127" s="313">
        <v>830</v>
      </c>
      <c r="F127" s="671" t="s">
        <v>212</v>
      </c>
      <c r="G127" s="8">
        <f t="shared" si="177"/>
        <v>293.27300000000002</v>
      </c>
      <c r="H127" s="8">
        <f t="shared" si="148"/>
        <v>0</v>
      </c>
      <c r="I127" s="8">
        <f t="shared" ref="I127:I143" si="186">G127+H127</f>
        <v>293.27300000000002</v>
      </c>
      <c r="J127" s="451">
        <f t="shared" ref="J127:J132" si="187">ROUND((AL127-AK127)/E127,3)</f>
        <v>2.2050000000000001</v>
      </c>
      <c r="K127" s="8">
        <f t="shared" si="149"/>
        <v>0</v>
      </c>
      <c r="L127" s="8">
        <f t="shared" si="150"/>
        <v>0</v>
      </c>
      <c r="M127" s="8">
        <f t="shared" si="151"/>
        <v>0</v>
      </c>
      <c r="N127" s="11">
        <f t="shared" si="152"/>
        <v>0</v>
      </c>
      <c r="O127" s="11">
        <f t="shared" si="183"/>
        <v>2</v>
      </c>
      <c r="P127" s="453">
        <f t="shared" si="179"/>
        <v>0.94599999999999995</v>
      </c>
      <c r="Q127" s="8">
        <f t="shared" ref="Q127:Q143" si="188">P127+O127+N127+M127+L127+K127+J127+I127</f>
        <v>298.42400000000004</v>
      </c>
      <c r="R127" s="8">
        <f>ROUND((Z127+AB127+AC127+AA127)/E127,3)</f>
        <v>0</v>
      </c>
      <c r="S127" s="8">
        <f t="shared" si="154"/>
        <v>0</v>
      </c>
      <c r="T127" s="627">
        <f t="shared" si="141"/>
        <v>298.42400000000004</v>
      </c>
      <c r="U127" s="671" t="s">
        <v>212</v>
      </c>
      <c r="V127" s="15">
        <v>186956</v>
      </c>
      <c r="W127" s="15">
        <f>ROUND(V127*0.302,0)</f>
        <v>56461</v>
      </c>
      <c r="X127" s="15"/>
      <c r="Y127" s="15"/>
      <c r="Z127" s="15"/>
      <c r="AA127" s="15"/>
      <c r="AB127" s="15"/>
      <c r="AC127" s="15"/>
      <c r="AD127" s="15">
        <v>1307</v>
      </c>
      <c r="AE127" s="15"/>
      <c r="AF127" s="15">
        <v>131</v>
      </c>
      <c r="AG127" s="15">
        <v>392</v>
      </c>
      <c r="AH127" s="15"/>
      <c r="AI127" s="15"/>
      <c r="AJ127" s="15"/>
      <c r="AK127" s="15">
        <v>785</v>
      </c>
      <c r="AL127" s="15">
        <f t="shared" si="147"/>
        <v>2615</v>
      </c>
      <c r="AM127" s="15"/>
      <c r="AN127" s="15"/>
      <c r="AO127" s="15"/>
      <c r="AP127" s="15"/>
      <c r="AQ127" s="15"/>
      <c r="AR127" s="705" t="s">
        <v>212</v>
      </c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>
        <f>ROUND(E127*2,0)</f>
        <v>1660</v>
      </c>
      <c r="BG127" s="15"/>
      <c r="BH127" s="15">
        <f t="shared" si="167"/>
        <v>247692</v>
      </c>
      <c r="BI127" s="447">
        <f t="shared" si="182"/>
        <v>298.42</v>
      </c>
      <c r="BJ127" s="76">
        <f t="shared" ref="BJ127:BK131" si="189">V127+X127</f>
        <v>186956</v>
      </c>
      <c r="BK127" s="76">
        <f t="shared" si="189"/>
        <v>56461</v>
      </c>
      <c r="BL127" s="76">
        <f>Z127+AB127+AC127+AA127</f>
        <v>0</v>
      </c>
      <c r="BM127" s="76">
        <f>BF127</f>
        <v>1660</v>
      </c>
      <c r="BN127" s="76">
        <f>BE127</f>
        <v>0</v>
      </c>
      <c r="BO127" s="76">
        <f>BG127+AL127+AM127+AN127+AO127+AP127+AQ127+AS127+AT127+AU127+AV127+AW127+AX127+AY127+AZ127+BA127+BB127+BC127+BD127</f>
        <v>2615</v>
      </c>
      <c r="BP127" s="92">
        <f>SUM(BJ127:BO127)</f>
        <v>247692</v>
      </c>
    </row>
    <row r="128" spans="1:68" ht="18" customHeight="1">
      <c r="A128" s="858"/>
      <c r="B128" s="849"/>
      <c r="C128" s="849"/>
      <c r="D128" s="157" t="s">
        <v>191</v>
      </c>
      <c r="E128" s="313">
        <v>732</v>
      </c>
      <c r="F128" s="829"/>
      <c r="G128" s="8">
        <f t="shared" si="177"/>
        <v>293.27300000000002</v>
      </c>
      <c r="H128" s="8">
        <f t="shared" si="148"/>
        <v>0</v>
      </c>
      <c r="I128" s="8">
        <f t="shared" si="186"/>
        <v>293.27300000000002</v>
      </c>
      <c r="J128" s="451">
        <f t="shared" si="187"/>
        <v>2.0270000000000001</v>
      </c>
      <c r="K128" s="8">
        <f t="shared" si="149"/>
        <v>0</v>
      </c>
      <c r="L128" s="8">
        <f t="shared" si="150"/>
        <v>0</v>
      </c>
      <c r="M128" s="8">
        <f t="shared" si="151"/>
        <v>0</v>
      </c>
      <c r="N128" s="11">
        <f t="shared" si="152"/>
        <v>0</v>
      </c>
      <c r="O128" s="11">
        <f t="shared" si="183"/>
        <v>9</v>
      </c>
      <c r="P128" s="453">
        <f t="shared" si="179"/>
        <v>0.94499999999999995</v>
      </c>
      <c r="Q128" s="8">
        <f t="shared" si="188"/>
        <v>305.245</v>
      </c>
      <c r="R128" s="8">
        <f>ROUND((Z128+AB128+AC128+AA128)/E128,3)</f>
        <v>0</v>
      </c>
      <c r="S128" s="8">
        <f t="shared" si="154"/>
        <v>0</v>
      </c>
      <c r="T128" s="627">
        <f t="shared" si="141"/>
        <v>305.245</v>
      </c>
      <c r="U128" s="829"/>
      <c r="V128" s="15">
        <v>164882</v>
      </c>
      <c r="W128" s="15">
        <f>ROUND(V128*0.302,0)</f>
        <v>49794</v>
      </c>
      <c r="X128" s="15"/>
      <c r="Y128" s="15"/>
      <c r="Z128" s="15"/>
      <c r="AA128" s="15"/>
      <c r="AB128" s="15"/>
      <c r="AC128" s="15"/>
      <c r="AD128" s="15">
        <v>1023</v>
      </c>
      <c r="AE128" s="15"/>
      <c r="AF128" s="15">
        <v>115</v>
      </c>
      <c r="AG128" s="15">
        <v>346</v>
      </c>
      <c r="AH128" s="15"/>
      <c r="AI128" s="15"/>
      <c r="AJ128" s="15"/>
      <c r="AK128" s="15">
        <v>692</v>
      </c>
      <c r="AL128" s="15">
        <f t="shared" si="147"/>
        <v>2176</v>
      </c>
      <c r="AM128" s="15"/>
      <c r="AN128" s="15"/>
      <c r="AO128" s="15"/>
      <c r="AP128" s="15"/>
      <c r="AQ128" s="15"/>
      <c r="AR128" s="827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>
        <f>ROUND(E128*9,0)</f>
        <v>6588</v>
      </c>
      <c r="BG128" s="15"/>
      <c r="BH128" s="15">
        <f t="shared" si="167"/>
        <v>223440</v>
      </c>
      <c r="BI128" s="447">
        <f t="shared" si="182"/>
        <v>305.25</v>
      </c>
      <c r="BJ128" s="76">
        <f t="shared" si="189"/>
        <v>164882</v>
      </c>
      <c r="BK128" s="76">
        <f t="shared" si="189"/>
        <v>49794</v>
      </c>
      <c r="BL128" s="76">
        <f>Z128+AB128+AC128+AA128</f>
        <v>0</v>
      </c>
      <c r="BM128" s="76">
        <f>BF128</f>
        <v>6588</v>
      </c>
      <c r="BN128" s="76">
        <f>BE128</f>
        <v>0</v>
      </c>
      <c r="BO128" s="76">
        <f>BG128+AL128+AM128+AN128+AO128+AP128+AQ128+AS128+AT128+AU128+AV128+AW128+AX128+AY128+AZ128+BA128+BB128+BC128+BD128</f>
        <v>2176</v>
      </c>
      <c r="BP128" s="92">
        <f>SUM(BJ128:BO128)</f>
        <v>223440</v>
      </c>
    </row>
    <row r="129" spans="1:68" ht="18" customHeight="1">
      <c r="A129" s="858"/>
      <c r="B129" s="849"/>
      <c r="C129" s="849"/>
      <c r="D129" s="157" t="s">
        <v>192</v>
      </c>
      <c r="E129" s="313">
        <v>297</v>
      </c>
      <c r="F129" s="829"/>
      <c r="G129" s="8">
        <f t="shared" si="177"/>
        <v>293.26900000000001</v>
      </c>
      <c r="H129" s="8">
        <f>ROUND((X129+Y129)/E129,3)</f>
        <v>0</v>
      </c>
      <c r="I129" s="8">
        <f t="shared" si="186"/>
        <v>293.26900000000001</v>
      </c>
      <c r="J129" s="451">
        <f t="shared" si="187"/>
        <v>2.2050000000000001</v>
      </c>
      <c r="K129" s="8">
        <f>ROUND((AM129+AN129+AO129+AP129+AQ129)/E129,3)</f>
        <v>0</v>
      </c>
      <c r="L129" s="8">
        <f t="shared" si="150"/>
        <v>0</v>
      </c>
      <c r="M129" s="8">
        <f t="shared" si="151"/>
        <v>0</v>
      </c>
      <c r="N129" s="11">
        <f t="shared" si="152"/>
        <v>0</v>
      </c>
      <c r="O129" s="11">
        <f t="shared" si="183"/>
        <v>20</v>
      </c>
      <c r="P129" s="453">
        <f t="shared" si="179"/>
        <v>0.94599999999999995</v>
      </c>
      <c r="Q129" s="8">
        <f t="shared" si="188"/>
        <v>316.42</v>
      </c>
      <c r="R129" s="8">
        <f>ROUND((Z129+AB129+AC129+AA129)/E129,3)</f>
        <v>0</v>
      </c>
      <c r="S129" s="8">
        <f t="shared" si="154"/>
        <v>0</v>
      </c>
      <c r="T129" s="627">
        <f t="shared" si="141"/>
        <v>316.42</v>
      </c>
      <c r="U129" s="829"/>
      <c r="V129" s="15">
        <v>66898</v>
      </c>
      <c r="W129" s="15">
        <f>ROUND(V129*0.302,0)</f>
        <v>20203</v>
      </c>
      <c r="X129" s="15"/>
      <c r="Y129" s="15"/>
      <c r="Z129" s="15"/>
      <c r="AA129" s="15"/>
      <c r="AB129" s="15"/>
      <c r="AC129" s="15"/>
      <c r="AD129" s="15">
        <v>468</v>
      </c>
      <c r="AE129" s="15"/>
      <c r="AF129" s="15">
        <v>47</v>
      </c>
      <c r="AG129" s="15">
        <v>140</v>
      </c>
      <c r="AH129" s="15"/>
      <c r="AI129" s="15"/>
      <c r="AJ129" s="15"/>
      <c r="AK129" s="15">
        <v>281</v>
      </c>
      <c r="AL129" s="15">
        <f t="shared" si="147"/>
        <v>936</v>
      </c>
      <c r="AM129" s="15"/>
      <c r="AN129" s="15"/>
      <c r="AO129" s="15"/>
      <c r="AP129" s="15"/>
      <c r="AQ129" s="15"/>
      <c r="AR129" s="827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>
        <f>ROUND(E129*20,0)</f>
        <v>5940</v>
      </c>
      <c r="BG129" s="15"/>
      <c r="BH129" s="15">
        <f t="shared" si="167"/>
        <v>93977</v>
      </c>
      <c r="BI129" s="447">
        <f t="shared" si="182"/>
        <v>316.42</v>
      </c>
      <c r="BJ129" s="76">
        <f t="shared" si="189"/>
        <v>66898</v>
      </c>
      <c r="BK129" s="76">
        <f t="shared" si="189"/>
        <v>20203</v>
      </c>
      <c r="BL129" s="76">
        <f>Z129+AB129+AC129+AA129</f>
        <v>0</v>
      </c>
      <c r="BM129" s="76">
        <f>BF129</f>
        <v>5940</v>
      </c>
      <c r="BN129" s="76">
        <f>BE129</f>
        <v>0</v>
      </c>
      <c r="BO129" s="76">
        <f>BG129+AL129+AM129+AN129+AO129+AP129+AQ129+AS129+AT129+AU129+AV129+AW129+AX129+AY129+AZ129+BA129+BB129+BC129+BD129</f>
        <v>936</v>
      </c>
      <c r="BP129" s="92">
        <f>SUM(BJ129:BO129)</f>
        <v>93977</v>
      </c>
    </row>
    <row r="130" spans="1:68" ht="18" customHeight="1">
      <c r="A130" s="858"/>
      <c r="B130" s="850"/>
      <c r="C130" s="850"/>
      <c r="D130" s="157" t="s">
        <v>193</v>
      </c>
      <c r="E130" s="313">
        <v>140</v>
      </c>
      <c r="F130" s="829"/>
      <c r="G130" s="8">
        <f t="shared" si="177"/>
        <v>293.279</v>
      </c>
      <c r="H130" s="8">
        <f t="shared" ref="H130:H146" si="190">ROUND((X130+Y130)/E130,2)</f>
        <v>0</v>
      </c>
      <c r="I130" s="8">
        <f t="shared" si="186"/>
        <v>293.279</v>
      </c>
      <c r="J130" s="451">
        <f t="shared" si="187"/>
        <v>2.2069999999999999</v>
      </c>
      <c r="K130" s="8">
        <f>ROUND((AM130+AN130+AO130+AP130+AQ130)/E130,2)</f>
        <v>0</v>
      </c>
      <c r="L130" s="8">
        <f t="shared" si="150"/>
        <v>0</v>
      </c>
      <c r="M130" s="8">
        <f t="shared" si="151"/>
        <v>0</v>
      </c>
      <c r="N130" s="11">
        <f t="shared" si="152"/>
        <v>0</v>
      </c>
      <c r="O130" s="11">
        <f t="shared" si="183"/>
        <v>20</v>
      </c>
      <c r="P130" s="453">
        <f t="shared" si="179"/>
        <v>0.94299999999999995</v>
      </c>
      <c r="Q130" s="8">
        <f t="shared" si="188"/>
        <v>316.42899999999997</v>
      </c>
      <c r="R130" s="8">
        <f>ROUND((Z130+AB130+AC130+AA130)/E130,3)</f>
        <v>0</v>
      </c>
      <c r="S130" s="8">
        <f t="shared" si="154"/>
        <v>0</v>
      </c>
      <c r="T130" s="627">
        <f t="shared" si="141"/>
        <v>316.42899999999997</v>
      </c>
      <c r="U130" s="829"/>
      <c r="V130" s="15">
        <v>31535</v>
      </c>
      <c r="W130" s="15">
        <f>ROUND(V130*0.302,0)</f>
        <v>9524</v>
      </c>
      <c r="X130" s="15"/>
      <c r="Y130" s="15"/>
      <c r="Z130" s="15"/>
      <c r="AA130" s="15"/>
      <c r="AB130" s="15"/>
      <c r="AC130" s="15"/>
      <c r="AD130" s="15">
        <v>221</v>
      </c>
      <c r="AE130" s="15"/>
      <c r="AF130" s="15">
        <v>22</v>
      </c>
      <c r="AG130" s="15">
        <v>66</v>
      </c>
      <c r="AH130" s="15"/>
      <c r="AI130" s="15"/>
      <c r="AJ130" s="15"/>
      <c r="AK130" s="15">
        <v>132</v>
      </c>
      <c r="AL130" s="15">
        <f t="shared" si="147"/>
        <v>441</v>
      </c>
      <c r="AM130" s="15"/>
      <c r="AN130" s="15"/>
      <c r="AO130" s="15"/>
      <c r="AP130" s="15"/>
      <c r="AQ130" s="15"/>
      <c r="AR130" s="827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>
        <f>ROUND(E130*20,0)</f>
        <v>2800</v>
      </c>
      <c r="BG130" s="15"/>
      <c r="BH130" s="15">
        <f t="shared" si="167"/>
        <v>44300</v>
      </c>
      <c r="BI130" s="447">
        <f t="shared" si="182"/>
        <v>316.43</v>
      </c>
      <c r="BJ130" s="76">
        <f t="shared" si="189"/>
        <v>31535</v>
      </c>
      <c r="BK130" s="76">
        <f t="shared" si="189"/>
        <v>9524</v>
      </c>
      <c r="BL130" s="76">
        <f>Z130+AB130+AC130+AA130</f>
        <v>0</v>
      </c>
      <c r="BM130" s="76">
        <f>BF130</f>
        <v>2800</v>
      </c>
      <c r="BN130" s="76">
        <f>BE130</f>
        <v>0</v>
      </c>
      <c r="BO130" s="76">
        <f>BG130+AL130+AM130+AN130+AO130+AP130+AQ130+AS130+AT130+AU130+AV130+AW130+AX130+AY130+AZ130+BA130+BB130+BC130+BD130</f>
        <v>441</v>
      </c>
      <c r="BP130" s="92">
        <f>SUM(BJ130:BO130)</f>
        <v>44300</v>
      </c>
    </row>
    <row r="131" spans="1:68" ht="51" customHeight="1">
      <c r="A131" s="859"/>
      <c r="B131" s="9" t="s">
        <v>198</v>
      </c>
      <c r="C131" s="9" t="s">
        <v>196</v>
      </c>
      <c r="D131" s="157"/>
      <c r="E131" s="313">
        <v>7010</v>
      </c>
      <c r="F131" s="830"/>
      <c r="G131" s="8">
        <f t="shared" si="177"/>
        <v>147.79</v>
      </c>
      <c r="H131" s="8">
        <f t="shared" si="190"/>
        <v>0</v>
      </c>
      <c r="I131" s="8">
        <f t="shared" si="186"/>
        <v>147.79</v>
      </c>
      <c r="J131" s="451">
        <f t="shared" si="187"/>
        <v>0.82799999999999996</v>
      </c>
      <c r="K131" s="8">
        <f>ROUND((AM131+AN131+AO131+AP131+AQ131)/E131,2)</f>
        <v>0</v>
      </c>
      <c r="L131" s="8">
        <f t="shared" si="150"/>
        <v>0</v>
      </c>
      <c r="M131" s="8">
        <f t="shared" si="151"/>
        <v>0</v>
      </c>
      <c r="N131" s="11">
        <f t="shared" si="152"/>
        <v>0</v>
      </c>
      <c r="O131" s="11">
        <f t="shared" si="183"/>
        <v>3.1459999999999999</v>
      </c>
      <c r="P131" s="453">
        <f t="shared" si="179"/>
        <v>0.35499999999999998</v>
      </c>
      <c r="Q131" s="8">
        <f t="shared" si="188"/>
        <v>152.119</v>
      </c>
      <c r="R131" s="8">
        <f>ROUND((Z131+AB131+AC131+AA131)/E131,3)</f>
        <v>0</v>
      </c>
      <c r="S131" s="8">
        <f t="shared" si="154"/>
        <v>0</v>
      </c>
      <c r="T131" s="627">
        <f t="shared" si="141"/>
        <v>152.119</v>
      </c>
      <c r="U131" s="830"/>
      <c r="V131" s="15">
        <v>795697</v>
      </c>
      <c r="W131" s="15">
        <f>376291-W127-W128-W129-W130</f>
        <v>240309</v>
      </c>
      <c r="X131" s="15"/>
      <c r="Y131" s="15"/>
      <c r="Z131" s="15"/>
      <c r="AA131" s="15"/>
      <c r="AB131" s="15"/>
      <c r="AC131" s="15"/>
      <c r="AD131" s="15">
        <v>4147</v>
      </c>
      <c r="AE131" s="15"/>
      <c r="AF131" s="15">
        <v>415</v>
      </c>
      <c r="AG131" s="15">
        <v>1244</v>
      </c>
      <c r="AH131" s="15"/>
      <c r="AI131" s="15"/>
      <c r="AJ131" s="15"/>
      <c r="AK131" s="15">
        <v>2488</v>
      </c>
      <c r="AL131" s="15">
        <f t="shared" si="147"/>
        <v>8294</v>
      </c>
      <c r="AM131" s="15"/>
      <c r="AN131" s="15"/>
      <c r="AO131" s="15"/>
      <c r="AP131" s="15"/>
      <c r="AQ131" s="15"/>
      <c r="AR131" s="828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>
        <f>BF132-BF127-BF128-BF129-BF130</f>
        <v>22056</v>
      </c>
      <c r="BG131" s="15"/>
      <c r="BH131" s="15">
        <f t="shared" si="167"/>
        <v>1066356</v>
      </c>
      <c r="BI131" s="447">
        <f t="shared" si="182"/>
        <v>152.12</v>
      </c>
      <c r="BJ131" s="76">
        <f t="shared" si="189"/>
        <v>795697</v>
      </c>
      <c r="BK131" s="76">
        <f t="shared" si="189"/>
        <v>240309</v>
      </c>
      <c r="BL131" s="76">
        <f>Z131+AB131+AC131+AA131</f>
        <v>0</v>
      </c>
      <c r="BM131" s="76">
        <f>BF131</f>
        <v>22056</v>
      </c>
      <c r="BN131" s="76">
        <f>BE131</f>
        <v>0</v>
      </c>
      <c r="BO131" s="76">
        <f>BG131+AL131+AM131+AN131+AO131+AP131+AQ131+AS131+AT131+AU131+AV131+AW131+AX131+AY131+AZ131+BA131+BB131+BC131+BD131</f>
        <v>8294</v>
      </c>
      <c r="BP131" s="92">
        <f>SUM(BJ131:BO131)</f>
        <v>1066356</v>
      </c>
    </row>
    <row r="132" spans="1:68" ht="27.75" customHeight="1">
      <c r="A132" s="109" t="s">
        <v>251</v>
      </c>
      <c r="B132" s="29"/>
      <c r="C132" s="29" t="s">
        <v>252</v>
      </c>
      <c r="D132" s="158"/>
      <c r="E132" s="32">
        <v>11005</v>
      </c>
      <c r="F132" s="159"/>
      <c r="G132" s="30">
        <f>ROUND((V132+W132)/E132,3)</f>
        <v>147.411</v>
      </c>
      <c r="H132" s="30">
        <f t="shared" si="190"/>
        <v>0</v>
      </c>
      <c r="I132" s="30">
        <f t="shared" si="186"/>
        <v>147.411</v>
      </c>
      <c r="J132" s="30">
        <f t="shared" si="187"/>
        <v>0.91600000000000004</v>
      </c>
      <c r="K132" s="30">
        <f>ROUND((AM132+AN132+AO132+AP132+AQ132)/E132,2)</f>
        <v>0</v>
      </c>
      <c r="L132" s="30">
        <f t="shared" si="150"/>
        <v>0</v>
      </c>
      <c r="M132" s="30">
        <f t="shared" si="151"/>
        <v>0</v>
      </c>
      <c r="N132" s="33">
        <f t="shared" si="152"/>
        <v>0</v>
      </c>
      <c r="O132" s="33">
        <f>ROUND(BF132/E132,3)</f>
        <v>3.548</v>
      </c>
      <c r="P132" s="33">
        <f t="shared" si="179"/>
        <v>0.39800000000000002</v>
      </c>
      <c r="Q132" s="30">
        <f t="shared" si="188"/>
        <v>152.273</v>
      </c>
      <c r="R132" s="30">
        <f>ROUND((Z132+AB132+AC132+AA132)/E132,2)</f>
        <v>0</v>
      </c>
      <c r="S132" s="30">
        <f t="shared" si="154"/>
        <v>0</v>
      </c>
      <c r="T132" s="627">
        <f t="shared" si="141"/>
        <v>152.273</v>
      </c>
      <c r="U132" s="159"/>
      <c r="V132" s="24">
        <f>SUM(V127:V131)</f>
        <v>1245968</v>
      </c>
      <c r="W132" s="24">
        <f>SUM(W127:W131)</f>
        <v>376291</v>
      </c>
      <c r="X132" s="24">
        <f t="shared" ref="X132:BG132" si="191">X127+X128+X129+X130+X131</f>
        <v>0</v>
      </c>
      <c r="Y132" s="24">
        <f t="shared" si="191"/>
        <v>0</v>
      </c>
      <c r="Z132" s="24">
        <f t="shared" si="191"/>
        <v>0</v>
      </c>
      <c r="AA132" s="24">
        <f t="shared" si="191"/>
        <v>0</v>
      </c>
      <c r="AB132" s="24">
        <f t="shared" si="191"/>
        <v>0</v>
      </c>
      <c r="AC132" s="24">
        <f t="shared" si="191"/>
        <v>0</v>
      </c>
      <c r="AD132" s="24">
        <f>AD127+AD128+AD129+AD130+AD131</f>
        <v>7166</v>
      </c>
      <c r="AE132" s="24">
        <f t="shared" si="191"/>
        <v>0</v>
      </c>
      <c r="AF132" s="24">
        <f t="shared" si="191"/>
        <v>730</v>
      </c>
      <c r="AG132" s="24">
        <f t="shared" si="191"/>
        <v>2188</v>
      </c>
      <c r="AH132" s="24">
        <f t="shared" si="191"/>
        <v>0</v>
      </c>
      <c r="AI132" s="24">
        <f t="shared" si="191"/>
        <v>0</v>
      </c>
      <c r="AJ132" s="24">
        <f t="shared" si="191"/>
        <v>0</v>
      </c>
      <c r="AK132" s="24">
        <f t="shared" si="191"/>
        <v>4378</v>
      </c>
      <c r="AL132" s="24">
        <f t="shared" si="191"/>
        <v>14462</v>
      </c>
      <c r="AM132" s="24">
        <f t="shared" si="191"/>
        <v>0</v>
      </c>
      <c r="AN132" s="24">
        <f t="shared" si="191"/>
        <v>0</v>
      </c>
      <c r="AO132" s="24">
        <f t="shared" si="191"/>
        <v>0</v>
      </c>
      <c r="AP132" s="24">
        <f t="shared" si="191"/>
        <v>0</v>
      </c>
      <c r="AQ132" s="24">
        <f t="shared" si="191"/>
        <v>0</v>
      </c>
      <c r="AR132" s="307"/>
      <c r="AS132" s="24">
        <f t="shared" si="191"/>
        <v>0</v>
      </c>
      <c r="AT132" s="24">
        <f t="shared" si="191"/>
        <v>0</v>
      </c>
      <c r="AU132" s="24">
        <f t="shared" si="191"/>
        <v>0</v>
      </c>
      <c r="AV132" s="24">
        <f t="shared" si="191"/>
        <v>0</v>
      </c>
      <c r="AW132" s="24">
        <f t="shared" si="191"/>
        <v>0</v>
      </c>
      <c r="AX132" s="24">
        <f t="shared" si="191"/>
        <v>0</v>
      </c>
      <c r="AY132" s="24">
        <f t="shared" si="191"/>
        <v>0</v>
      </c>
      <c r="AZ132" s="24">
        <f t="shared" si="191"/>
        <v>0</v>
      </c>
      <c r="BA132" s="24">
        <f t="shared" si="191"/>
        <v>0</v>
      </c>
      <c r="BB132" s="24">
        <f t="shared" si="191"/>
        <v>0</v>
      </c>
      <c r="BC132" s="24">
        <f t="shared" si="191"/>
        <v>0</v>
      </c>
      <c r="BD132" s="24">
        <f t="shared" si="191"/>
        <v>0</v>
      </c>
      <c r="BE132" s="24">
        <f t="shared" si="191"/>
        <v>0</v>
      </c>
      <c r="BF132" s="24">
        <v>39044</v>
      </c>
      <c r="BG132" s="24">
        <f t="shared" si="191"/>
        <v>0</v>
      </c>
      <c r="BH132" s="24">
        <f t="shared" si="167"/>
        <v>1675765</v>
      </c>
      <c r="BI132" s="447">
        <f>ROUND(BH132/E132,3)</f>
        <v>152.273</v>
      </c>
      <c r="BJ132" s="24">
        <f t="shared" ref="BJ132:BP132" si="192">BJ127+BJ128+BJ129+BJ130+BJ131</f>
        <v>1245968</v>
      </c>
      <c r="BK132" s="24">
        <f t="shared" si="192"/>
        <v>376291</v>
      </c>
      <c r="BL132" s="24">
        <f t="shared" si="192"/>
        <v>0</v>
      </c>
      <c r="BM132" s="24">
        <f t="shared" si="192"/>
        <v>39044</v>
      </c>
      <c r="BN132" s="24">
        <f t="shared" si="192"/>
        <v>0</v>
      </c>
      <c r="BO132" s="24">
        <f t="shared" si="192"/>
        <v>14462</v>
      </c>
      <c r="BP132" s="24">
        <f t="shared" si="192"/>
        <v>1675765</v>
      </c>
    </row>
    <row r="133" spans="1:68" ht="18.75" customHeight="1">
      <c r="A133" s="857" t="s">
        <v>194</v>
      </c>
      <c r="B133" s="648" t="s">
        <v>197</v>
      </c>
      <c r="C133" s="648" t="s">
        <v>189</v>
      </c>
      <c r="D133" s="157" t="s">
        <v>190</v>
      </c>
      <c r="E133" s="313">
        <v>343</v>
      </c>
      <c r="F133" s="671" t="s">
        <v>213</v>
      </c>
      <c r="G133" s="8">
        <f t="shared" ref="G133:G146" si="193">ROUND((V133+W133)/E133,3)</f>
        <v>431.21600000000001</v>
      </c>
      <c r="H133" s="8">
        <f t="shared" si="190"/>
        <v>0</v>
      </c>
      <c r="I133" s="8">
        <f t="shared" si="186"/>
        <v>431.21600000000001</v>
      </c>
      <c r="J133" s="451">
        <f t="shared" ref="J133:J143" si="194">ROUND((AL133-AK133)/E133,3)</f>
        <v>4.1079999999999997</v>
      </c>
      <c r="K133" s="8">
        <f>ROUND((AM133+AN133+AO133+AP133+AQ133)/E133,2)</f>
        <v>2.29</v>
      </c>
      <c r="L133" s="8">
        <f t="shared" si="150"/>
        <v>0.23</v>
      </c>
      <c r="M133" s="8">
        <f t="shared" si="151"/>
        <v>0</v>
      </c>
      <c r="N133" s="11">
        <f t="shared" si="152"/>
        <v>0</v>
      </c>
      <c r="O133" s="11">
        <f>ROUND(BF133/E133,2)</f>
        <v>2</v>
      </c>
      <c r="P133" s="453">
        <f t="shared" si="179"/>
        <v>1.7609999999999999</v>
      </c>
      <c r="Q133" s="8">
        <f t="shared" si="188"/>
        <v>441.60500000000002</v>
      </c>
      <c r="R133" s="8">
        <f>ROUND((Z133+AB133+AC133+AA133)/E133,2)</f>
        <v>29</v>
      </c>
      <c r="S133" s="8">
        <f t="shared" si="154"/>
        <v>0</v>
      </c>
      <c r="T133" s="627">
        <f t="shared" si="141"/>
        <v>470.60500000000002</v>
      </c>
      <c r="U133" s="671" t="s">
        <v>213</v>
      </c>
      <c r="V133" s="15">
        <v>113600</v>
      </c>
      <c r="W133" s="15">
        <f>ROUND(V133*0.302,0)</f>
        <v>34307</v>
      </c>
      <c r="X133" s="15"/>
      <c r="Y133" s="15"/>
      <c r="Z133" s="15"/>
      <c r="AA133" s="15">
        <v>8233</v>
      </c>
      <c r="AB133" s="15">
        <v>1715</v>
      </c>
      <c r="AC133" s="15"/>
      <c r="AD133" s="15">
        <v>1006</v>
      </c>
      <c r="AE133" s="15"/>
      <c r="AF133" s="15">
        <v>101</v>
      </c>
      <c r="AG133" s="15">
        <v>302</v>
      </c>
      <c r="AH133" s="15"/>
      <c r="AI133" s="15"/>
      <c r="AJ133" s="15"/>
      <c r="AK133" s="15">
        <v>604</v>
      </c>
      <c r="AL133" s="15">
        <f>SUM(AD133:AK133)</f>
        <v>2013</v>
      </c>
      <c r="AM133" s="15">
        <f>945-159</f>
        <v>786</v>
      </c>
      <c r="AN133" s="15"/>
      <c r="AO133" s="15"/>
      <c r="AP133" s="15"/>
      <c r="AQ133" s="15"/>
      <c r="AR133" s="705" t="s">
        <v>213</v>
      </c>
      <c r="AS133" s="15"/>
      <c r="AT133" s="15"/>
      <c r="AU133" s="15">
        <v>80</v>
      </c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>
        <f>ROUND(E133*2,0)</f>
        <v>686</v>
      </c>
      <c r="BG133" s="15"/>
      <c r="BH133" s="15">
        <f t="shared" si="167"/>
        <v>161420</v>
      </c>
      <c r="BI133" s="447">
        <f t="shared" si="182"/>
        <v>470.61</v>
      </c>
      <c r="BJ133" s="76">
        <f t="shared" ref="BJ133:BK137" si="195">V133+X133</f>
        <v>113600</v>
      </c>
      <c r="BK133" s="76">
        <f t="shared" si="195"/>
        <v>34307</v>
      </c>
      <c r="BL133" s="76">
        <f>Z133+AB133+AC133+AA133</f>
        <v>9948</v>
      </c>
      <c r="BM133" s="76">
        <f>BF133</f>
        <v>686</v>
      </c>
      <c r="BN133" s="76">
        <f>BE133</f>
        <v>0</v>
      </c>
      <c r="BO133" s="76">
        <f>BG133+AL133+AM133+AN133+AO133+AP133+AQ133+AS133+AT133+AU133+AV133+AW133+AX133+AY133+AZ133+BA133+BB133+BC133+BD133</f>
        <v>2879</v>
      </c>
      <c r="BP133" s="92">
        <f>SUM(BJ133:BO133)</f>
        <v>161420</v>
      </c>
    </row>
    <row r="134" spans="1:68" ht="18.75" customHeight="1">
      <c r="A134" s="858"/>
      <c r="B134" s="849"/>
      <c r="C134" s="849"/>
      <c r="D134" s="157" t="s">
        <v>191</v>
      </c>
      <c r="E134" s="313">
        <v>366</v>
      </c>
      <c r="F134" s="829"/>
      <c r="G134" s="8">
        <f t="shared" si="193"/>
        <v>431.21600000000001</v>
      </c>
      <c r="H134" s="8">
        <f t="shared" si="190"/>
        <v>0</v>
      </c>
      <c r="I134" s="8">
        <f t="shared" si="186"/>
        <v>431.21600000000001</v>
      </c>
      <c r="J134" s="451">
        <f t="shared" si="194"/>
        <v>4.109</v>
      </c>
      <c r="K134" s="8">
        <f>ROUND((AM134+AN134+AO134+AP134+AQ134)/E134,3)</f>
        <v>2.306</v>
      </c>
      <c r="L134" s="8">
        <f>ROUND((AS134+AT134+AU134+AV134+AW134)/E134,3)</f>
        <v>0.23</v>
      </c>
      <c r="M134" s="8">
        <f t="shared" si="151"/>
        <v>0</v>
      </c>
      <c r="N134" s="11">
        <f t="shared" si="152"/>
        <v>0</v>
      </c>
      <c r="O134" s="11">
        <f>ROUND(BF134/E134,3)</f>
        <v>9</v>
      </c>
      <c r="P134" s="453">
        <f t="shared" si="179"/>
        <v>1.76</v>
      </c>
      <c r="Q134" s="8">
        <f t="shared" si="188"/>
        <v>448.62099999999998</v>
      </c>
      <c r="R134" s="8">
        <f>ROUND((Z134+AB134+AC134+AA134)/E134,3)</f>
        <v>29.003</v>
      </c>
      <c r="S134" s="8">
        <f t="shared" si="154"/>
        <v>0</v>
      </c>
      <c r="T134" s="627">
        <f t="shared" si="141"/>
        <v>477.62399999999997</v>
      </c>
      <c r="U134" s="829"/>
      <c r="V134" s="15">
        <v>121217</v>
      </c>
      <c r="W134" s="15">
        <f>ROUND(V134*0.302,0)</f>
        <v>36608</v>
      </c>
      <c r="X134" s="15"/>
      <c r="Y134" s="15"/>
      <c r="Z134" s="15"/>
      <c r="AA134" s="15">
        <v>8786</v>
      </c>
      <c r="AB134" s="15">
        <v>1829</v>
      </c>
      <c r="AC134" s="15"/>
      <c r="AD134" s="15">
        <v>1075</v>
      </c>
      <c r="AE134" s="15"/>
      <c r="AF134" s="15">
        <v>107</v>
      </c>
      <c r="AG134" s="15">
        <v>322</v>
      </c>
      <c r="AH134" s="15"/>
      <c r="AI134" s="15"/>
      <c r="AJ134" s="15"/>
      <c r="AK134" s="15">
        <v>644</v>
      </c>
      <c r="AL134" s="15">
        <f>SUM(AD134:AK134)</f>
        <v>2148</v>
      </c>
      <c r="AM134" s="15">
        <v>844</v>
      </c>
      <c r="AN134" s="15"/>
      <c r="AO134" s="15"/>
      <c r="AP134" s="15"/>
      <c r="AQ134" s="15"/>
      <c r="AR134" s="827"/>
      <c r="AS134" s="15"/>
      <c r="AT134" s="15"/>
      <c r="AU134" s="15">
        <v>84</v>
      </c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>
        <f>ROUND(E134*9,0)</f>
        <v>3294</v>
      </c>
      <c r="BG134" s="15"/>
      <c r="BH134" s="15">
        <f t="shared" si="167"/>
        <v>174810</v>
      </c>
      <c r="BI134" s="447">
        <f t="shared" si="182"/>
        <v>477.62</v>
      </c>
      <c r="BJ134" s="76">
        <f t="shared" si="195"/>
        <v>121217</v>
      </c>
      <c r="BK134" s="76">
        <f t="shared" si="195"/>
        <v>36608</v>
      </c>
      <c r="BL134" s="76">
        <f>Z134+AB134+AC134+AA134</f>
        <v>10615</v>
      </c>
      <c r="BM134" s="76">
        <f>BF134</f>
        <v>3294</v>
      </c>
      <c r="BN134" s="76">
        <f>BE134</f>
        <v>0</v>
      </c>
      <c r="BO134" s="76">
        <f>BG134+AL134+AM134+AN134+AO134+AP134+AQ134+AS134+AT134+AU134+AV134+AW134+AX134+AY134+AZ134+BA134+BB134+BC134+BD134</f>
        <v>3076</v>
      </c>
      <c r="BP134" s="92">
        <f>SUM(BJ134:BO134)</f>
        <v>174810</v>
      </c>
    </row>
    <row r="135" spans="1:68" ht="18.75" customHeight="1">
      <c r="A135" s="858"/>
      <c r="B135" s="849"/>
      <c r="C135" s="849"/>
      <c r="D135" s="157" t="s">
        <v>192</v>
      </c>
      <c r="E135" s="313">
        <v>297</v>
      </c>
      <c r="F135" s="829"/>
      <c r="G135" s="8">
        <f t="shared" si="193"/>
        <v>431.22199999999998</v>
      </c>
      <c r="H135" s="8">
        <f t="shared" si="190"/>
        <v>0</v>
      </c>
      <c r="I135" s="8">
        <f t="shared" si="186"/>
        <v>431.22199999999998</v>
      </c>
      <c r="J135" s="451">
        <f t="shared" si="194"/>
        <v>4.1079999999999997</v>
      </c>
      <c r="K135" s="8">
        <f>ROUND((AM135+AN135+AO135+AP135+AQ135)/E135,3)</f>
        <v>2.7850000000000001</v>
      </c>
      <c r="L135" s="8">
        <f>ROUND((AS135+AT135+AU135+AV135+AW135)/E135,2)</f>
        <v>0.23</v>
      </c>
      <c r="M135" s="8">
        <f t="shared" si="151"/>
        <v>0</v>
      </c>
      <c r="N135" s="11">
        <f t="shared" si="152"/>
        <v>0</v>
      </c>
      <c r="O135" s="11">
        <f>ROUND(BF135/E135,2)</f>
        <v>20</v>
      </c>
      <c r="P135" s="453">
        <f t="shared" si="179"/>
        <v>1.7609999999999999</v>
      </c>
      <c r="Q135" s="8">
        <f t="shared" si="188"/>
        <v>460.10599999999999</v>
      </c>
      <c r="R135" s="8">
        <f>ROUND((Z135+AB135+AC135+AA135)/E135,2)</f>
        <v>29</v>
      </c>
      <c r="S135" s="8">
        <f t="shared" si="154"/>
        <v>0</v>
      </c>
      <c r="T135" s="627">
        <f t="shared" si="141"/>
        <v>489.10599999999999</v>
      </c>
      <c r="U135" s="829"/>
      <c r="V135" s="15">
        <v>98366</v>
      </c>
      <c r="W135" s="15">
        <f>ROUND(V135*0.302,0)</f>
        <v>29707</v>
      </c>
      <c r="X135" s="15"/>
      <c r="Y135" s="15"/>
      <c r="Z135" s="15"/>
      <c r="AA135" s="15">
        <v>7129</v>
      </c>
      <c r="AB135" s="15">
        <v>1484</v>
      </c>
      <c r="AC135" s="15"/>
      <c r="AD135" s="15">
        <v>872</v>
      </c>
      <c r="AE135" s="15"/>
      <c r="AF135" s="15">
        <v>87</v>
      </c>
      <c r="AG135" s="15">
        <v>261</v>
      </c>
      <c r="AH135" s="15"/>
      <c r="AI135" s="15"/>
      <c r="AJ135" s="15"/>
      <c r="AK135" s="15">
        <v>523</v>
      </c>
      <c r="AL135" s="15">
        <f>SUM(AD135:AK135)</f>
        <v>1743</v>
      </c>
      <c r="AM135" s="15">
        <v>827</v>
      </c>
      <c r="AN135" s="15"/>
      <c r="AO135" s="15"/>
      <c r="AP135" s="15"/>
      <c r="AQ135" s="15"/>
      <c r="AR135" s="827"/>
      <c r="AS135" s="15"/>
      <c r="AT135" s="15"/>
      <c r="AU135" s="15">
        <v>69</v>
      </c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>
        <f>ROUND(E135*20,0)</f>
        <v>5940</v>
      </c>
      <c r="BG135" s="15"/>
      <c r="BH135" s="15">
        <f t="shared" si="167"/>
        <v>145265</v>
      </c>
      <c r="BI135" s="447">
        <f t="shared" si="182"/>
        <v>489.11</v>
      </c>
      <c r="BJ135" s="76">
        <f t="shared" si="195"/>
        <v>98366</v>
      </c>
      <c r="BK135" s="76">
        <f t="shared" si="195"/>
        <v>29707</v>
      </c>
      <c r="BL135" s="76">
        <f>Z135+AB135+AC135+AA135</f>
        <v>8613</v>
      </c>
      <c r="BM135" s="76">
        <f>BF135</f>
        <v>5940</v>
      </c>
      <c r="BN135" s="76">
        <f>BE135</f>
        <v>0</v>
      </c>
      <c r="BO135" s="76">
        <f>BG135+AL135+AM135+AN135+AO135+AP135+AQ135+AS135+AT135+AU135+AV135+AW135+AX135+AY135+AZ135+BA135+BB135+BC135+BD135</f>
        <v>2639</v>
      </c>
      <c r="BP135" s="92">
        <f>SUM(BJ135:BO135)</f>
        <v>145265</v>
      </c>
    </row>
    <row r="136" spans="1:68" ht="15" hidden="1" customHeight="1" outlineLevel="1">
      <c r="A136" s="858"/>
      <c r="B136" s="850"/>
      <c r="C136" s="850"/>
      <c r="D136" s="157" t="s">
        <v>193</v>
      </c>
      <c r="E136" s="313"/>
      <c r="F136" s="829"/>
      <c r="G136" s="8" t="e">
        <f t="shared" si="193"/>
        <v>#DIV/0!</v>
      </c>
      <c r="H136" s="8" t="e">
        <f t="shared" si="190"/>
        <v>#DIV/0!</v>
      </c>
      <c r="I136" s="8" t="e">
        <f t="shared" si="186"/>
        <v>#DIV/0!</v>
      </c>
      <c r="J136" s="451" t="e">
        <f t="shared" si="194"/>
        <v>#DIV/0!</v>
      </c>
      <c r="K136" s="8" t="e">
        <f>ROUND((AM136+AN136+AO136+AP136+AQ136)/E136,2)</f>
        <v>#DIV/0!</v>
      </c>
      <c r="L136" s="8" t="e">
        <f>ROUND((AS136+AT136+AU136+AV136+AW136)/E136,2)</f>
        <v>#DIV/0!</v>
      </c>
      <c r="M136" s="8" t="e">
        <f t="shared" si="151"/>
        <v>#DIV/0!</v>
      </c>
      <c r="N136" s="11" t="e">
        <f t="shared" si="152"/>
        <v>#DIV/0!</v>
      </c>
      <c r="O136" s="11" t="e">
        <f>ROUND(BF136/E136,2)</f>
        <v>#DIV/0!</v>
      </c>
      <c r="P136" s="453" t="e">
        <f t="shared" si="179"/>
        <v>#DIV/0!</v>
      </c>
      <c r="Q136" s="8" t="e">
        <f t="shared" si="188"/>
        <v>#DIV/0!</v>
      </c>
      <c r="R136" s="8" t="e">
        <f>ROUND((Z136+AB136+AC136+AA136)/E136,2)</f>
        <v>#DIV/0!</v>
      </c>
      <c r="S136" s="8" t="e">
        <f t="shared" si="154"/>
        <v>#DIV/0!</v>
      </c>
      <c r="T136" s="627" t="e">
        <f t="shared" si="141"/>
        <v>#DIV/0!</v>
      </c>
      <c r="U136" s="829"/>
      <c r="V136" s="15">
        <v>0</v>
      </c>
      <c r="W136" s="15">
        <f>ROUND(V136*0.302,0)</f>
        <v>0</v>
      </c>
      <c r="X136" s="15"/>
      <c r="Y136" s="15"/>
      <c r="Z136" s="15"/>
      <c r="AA136" s="15">
        <v>0</v>
      </c>
      <c r="AB136" s="15">
        <v>0</v>
      </c>
      <c r="AC136" s="15"/>
      <c r="AD136" s="15">
        <v>0</v>
      </c>
      <c r="AE136" s="15"/>
      <c r="AF136" s="15">
        <v>0</v>
      </c>
      <c r="AG136" s="15">
        <v>0</v>
      </c>
      <c r="AH136" s="15"/>
      <c r="AI136" s="15"/>
      <c r="AJ136" s="15"/>
      <c r="AK136" s="15">
        <v>0</v>
      </c>
      <c r="AL136" s="15">
        <f>SUM(AD136:AK136)</f>
        <v>0</v>
      </c>
      <c r="AM136" s="15"/>
      <c r="AN136" s="15"/>
      <c r="AO136" s="15"/>
      <c r="AP136" s="15"/>
      <c r="AQ136" s="15"/>
      <c r="AR136" s="827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>
        <f>ROUND(E136*20,0)</f>
        <v>0</v>
      </c>
      <c r="BG136" s="15"/>
      <c r="BH136" s="15">
        <f t="shared" si="167"/>
        <v>0</v>
      </c>
      <c r="BI136" s="447" t="e">
        <f t="shared" si="182"/>
        <v>#DIV/0!</v>
      </c>
      <c r="BJ136" s="76">
        <f t="shared" si="195"/>
        <v>0</v>
      </c>
      <c r="BK136" s="76">
        <f t="shared" si="195"/>
        <v>0</v>
      </c>
      <c r="BL136" s="76">
        <f>Z136+AB136+AC136+AA136</f>
        <v>0</v>
      </c>
      <c r="BM136" s="76">
        <f>BF136</f>
        <v>0</v>
      </c>
      <c r="BN136" s="76">
        <f>BE136</f>
        <v>0</v>
      </c>
      <c r="BO136" s="76">
        <f>BG136+AL136+AM136+AN136+AO136+AP136+AQ136+AS136+AT136+AU136+AV136+AW136+AX136+AY136+AZ136+BA136+BB136+BC136+BD136</f>
        <v>0</v>
      </c>
      <c r="BP136" s="92">
        <f>SUM(BJ136:BO136)</f>
        <v>0</v>
      </c>
    </row>
    <row r="137" spans="1:68" ht="60" collapsed="1">
      <c r="A137" s="859"/>
      <c r="B137" s="9" t="s">
        <v>198</v>
      </c>
      <c r="C137" s="9" t="s">
        <v>196</v>
      </c>
      <c r="D137" s="157"/>
      <c r="E137" s="313">
        <v>3527</v>
      </c>
      <c r="F137" s="830"/>
      <c r="G137" s="8">
        <f t="shared" si="193"/>
        <v>215.97499999999999</v>
      </c>
      <c r="H137" s="8">
        <f t="shared" si="190"/>
        <v>0</v>
      </c>
      <c r="I137" s="8">
        <f t="shared" si="186"/>
        <v>215.97499999999999</v>
      </c>
      <c r="J137" s="451">
        <f t="shared" si="194"/>
        <v>1.542</v>
      </c>
      <c r="K137" s="8">
        <f>ROUND((AM137+AN137+AO137+AP137+AQ137)/E137,3)</f>
        <v>1.03</v>
      </c>
      <c r="L137" s="8">
        <f>ROUND((AS137+AT137+AU137+AV137+AW137)/E137,3)</f>
        <v>7.4999999999999997E-2</v>
      </c>
      <c r="M137" s="8">
        <f t="shared" si="151"/>
        <v>0</v>
      </c>
      <c r="N137" s="11">
        <f t="shared" si="152"/>
        <v>0</v>
      </c>
      <c r="O137" s="11">
        <f>ROUND(BF137/E137,3)</f>
        <v>4.9260000000000002</v>
      </c>
      <c r="P137" s="453">
        <f t="shared" si="179"/>
        <v>0.66</v>
      </c>
      <c r="Q137" s="8">
        <f t="shared" si="188"/>
        <v>224.208</v>
      </c>
      <c r="R137" s="8">
        <f>ROUND((Z137+AB137+AC137+AA137)/E137,2)</f>
        <v>10.88</v>
      </c>
      <c r="S137" s="8">
        <f t="shared" si="154"/>
        <v>0</v>
      </c>
      <c r="T137" s="627">
        <f t="shared" si="141"/>
        <v>235.08799999999999</v>
      </c>
      <c r="U137" s="830"/>
      <c r="V137" s="15">
        <v>585049.72</v>
      </c>
      <c r="W137" s="15">
        <f>277315.08-W133-W134-W135</f>
        <v>176693.08000000002</v>
      </c>
      <c r="X137" s="15"/>
      <c r="Y137" s="15"/>
      <c r="Z137" s="15"/>
      <c r="AA137" s="15">
        <v>31769</v>
      </c>
      <c r="AB137" s="15">
        <v>6622</v>
      </c>
      <c r="AC137" s="15"/>
      <c r="AD137" s="15">
        <f>3882-497</f>
        <v>3385</v>
      </c>
      <c r="AE137" s="15"/>
      <c r="AF137" s="15">
        <v>888</v>
      </c>
      <c r="AG137" s="15">
        <v>1165</v>
      </c>
      <c r="AH137" s="15"/>
      <c r="AI137" s="15"/>
      <c r="AJ137" s="15"/>
      <c r="AK137" s="15">
        <v>2329</v>
      </c>
      <c r="AL137" s="15">
        <f>SUM(AD137:AK137)</f>
        <v>7767</v>
      </c>
      <c r="AM137" s="15">
        <f>3093+540</f>
        <v>3633</v>
      </c>
      <c r="AN137" s="15"/>
      <c r="AO137" s="15"/>
      <c r="AP137" s="15"/>
      <c r="AQ137" s="15"/>
      <c r="AR137" s="828"/>
      <c r="AS137" s="15"/>
      <c r="AT137" s="15"/>
      <c r="AU137" s="15">
        <v>264</v>
      </c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>
        <f>BF138-BF133-BF134-BF135-BF136</f>
        <v>17375</v>
      </c>
      <c r="BG137" s="15"/>
      <c r="BH137" s="15">
        <f t="shared" si="167"/>
        <v>829172.8</v>
      </c>
      <c r="BI137" s="447">
        <f t="shared" si="182"/>
        <v>235.09</v>
      </c>
      <c r="BJ137" s="76">
        <f t="shared" si="195"/>
        <v>585049.72</v>
      </c>
      <c r="BK137" s="76">
        <f t="shared" si="195"/>
        <v>176693.08000000002</v>
      </c>
      <c r="BL137" s="76">
        <f>Z137+AB137+AC137+AA137</f>
        <v>38391</v>
      </c>
      <c r="BM137" s="76">
        <f>BF137</f>
        <v>17375</v>
      </c>
      <c r="BN137" s="76">
        <f>BE137</f>
        <v>0</v>
      </c>
      <c r="BO137" s="76">
        <f>BG137+AL137+AM137+AN137+AO137+AP137+AQ137+AS137+AT137+AU137+AV137+AW137+AX137+AY137+AZ137+BA137+BB137+BC137+BD137</f>
        <v>11664</v>
      </c>
      <c r="BP137" s="92">
        <f>SUM(BJ137:BO137)</f>
        <v>829172.8</v>
      </c>
    </row>
    <row r="138" spans="1:68" ht="27.75" customHeight="1">
      <c r="A138" s="109" t="s">
        <v>251</v>
      </c>
      <c r="B138" s="29"/>
      <c r="C138" s="29" t="s">
        <v>252</v>
      </c>
      <c r="D138" s="158"/>
      <c r="E138" s="32">
        <v>5536</v>
      </c>
      <c r="F138" s="159"/>
      <c r="G138" s="30">
        <f t="shared" si="193"/>
        <v>215.959</v>
      </c>
      <c r="H138" s="30">
        <f t="shared" si="190"/>
        <v>0</v>
      </c>
      <c r="I138" s="30">
        <f t="shared" si="186"/>
        <v>215.959</v>
      </c>
      <c r="J138" s="30">
        <f t="shared" si="194"/>
        <v>1.7290000000000001</v>
      </c>
      <c r="K138" s="30">
        <f>ROUND((AM138+AN138+AO138+AP138+AQ138)/E138,3)</f>
        <v>1.1000000000000001</v>
      </c>
      <c r="L138" s="30">
        <f>ROUND((AS138+AT138+AU138+AV138+AW138)/E138,3)</f>
        <v>0.09</v>
      </c>
      <c r="M138" s="30">
        <f t="shared" si="151"/>
        <v>0</v>
      </c>
      <c r="N138" s="33">
        <f t="shared" si="152"/>
        <v>0</v>
      </c>
      <c r="O138" s="33">
        <f>ROUND(BF138/E138,3)</f>
        <v>4.93</v>
      </c>
      <c r="P138" s="33">
        <f t="shared" si="179"/>
        <v>0.74099999999999999</v>
      </c>
      <c r="Q138" s="30">
        <f t="shared" si="188"/>
        <v>224.54900000000001</v>
      </c>
      <c r="R138" s="30">
        <f>ROUND((Z138+AB138+AC138+AA138)/E138,3)</f>
        <v>12.205</v>
      </c>
      <c r="S138" s="30">
        <f t="shared" si="154"/>
        <v>0</v>
      </c>
      <c r="T138" s="627">
        <f t="shared" si="141"/>
        <v>236.75400000000002</v>
      </c>
      <c r="U138" s="159"/>
      <c r="V138" s="521">
        <f>SUM(V133:V137)</f>
        <v>918232.72</v>
      </c>
      <c r="W138" s="24">
        <f>SUM(W133:W137)</f>
        <v>277315.08</v>
      </c>
      <c r="X138" s="24">
        <f t="shared" ref="X138:BG138" si="196">X133+X134+X135+X136+X137</f>
        <v>0</v>
      </c>
      <c r="Y138" s="24">
        <f t="shared" si="196"/>
        <v>0</v>
      </c>
      <c r="Z138" s="24">
        <f t="shared" si="196"/>
        <v>0</v>
      </c>
      <c r="AA138" s="24">
        <f t="shared" si="196"/>
        <v>55917</v>
      </c>
      <c r="AB138" s="24">
        <f t="shared" si="196"/>
        <v>11650</v>
      </c>
      <c r="AC138" s="24">
        <f t="shared" si="196"/>
        <v>0</v>
      </c>
      <c r="AD138" s="24">
        <f>SUM(AD133:AD137)</f>
        <v>6338</v>
      </c>
      <c r="AE138" s="24">
        <f t="shared" ref="AE138:AM138" si="197">SUM(AE133:AE137)</f>
        <v>0</v>
      </c>
      <c r="AF138" s="24">
        <f t="shared" si="197"/>
        <v>1183</v>
      </c>
      <c r="AG138" s="24">
        <f t="shared" si="197"/>
        <v>2050</v>
      </c>
      <c r="AH138" s="24">
        <f t="shared" si="197"/>
        <v>0</v>
      </c>
      <c r="AI138" s="24">
        <f t="shared" si="197"/>
        <v>0</v>
      </c>
      <c r="AJ138" s="24">
        <f t="shared" si="197"/>
        <v>0</v>
      </c>
      <c r="AK138" s="24">
        <f t="shared" si="197"/>
        <v>4100</v>
      </c>
      <c r="AL138" s="24">
        <f t="shared" si="197"/>
        <v>13671</v>
      </c>
      <c r="AM138" s="24">
        <f t="shared" si="197"/>
        <v>6090</v>
      </c>
      <c r="AN138" s="24">
        <f t="shared" si="196"/>
        <v>0</v>
      </c>
      <c r="AO138" s="24">
        <f t="shared" si="196"/>
        <v>0</v>
      </c>
      <c r="AP138" s="24">
        <f t="shared" si="196"/>
        <v>0</v>
      </c>
      <c r="AQ138" s="24">
        <f t="shared" si="196"/>
        <v>0</v>
      </c>
      <c r="AR138" s="24"/>
      <c r="AS138" s="24">
        <f t="shared" si="196"/>
        <v>0</v>
      </c>
      <c r="AT138" s="24">
        <f t="shared" si="196"/>
        <v>0</v>
      </c>
      <c r="AU138" s="24">
        <f t="shared" si="196"/>
        <v>497</v>
      </c>
      <c r="AV138" s="24">
        <f t="shared" si="196"/>
        <v>0</v>
      </c>
      <c r="AW138" s="24">
        <f t="shared" si="196"/>
        <v>0</v>
      </c>
      <c r="AX138" s="24">
        <f t="shared" si="196"/>
        <v>0</v>
      </c>
      <c r="AY138" s="24">
        <f t="shared" si="196"/>
        <v>0</v>
      </c>
      <c r="AZ138" s="24">
        <f t="shared" si="196"/>
        <v>0</v>
      </c>
      <c r="BA138" s="24">
        <f t="shared" si="196"/>
        <v>0</v>
      </c>
      <c r="BB138" s="24">
        <f t="shared" si="196"/>
        <v>0</v>
      </c>
      <c r="BC138" s="24">
        <f t="shared" si="196"/>
        <v>0</v>
      </c>
      <c r="BD138" s="24">
        <f t="shared" si="196"/>
        <v>0</v>
      </c>
      <c r="BE138" s="24">
        <f t="shared" si="196"/>
        <v>0</v>
      </c>
      <c r="BF138" s="24">
        <v>27295</v>
      </c>
      <c r="BG138" s="24">
        <f t="shared" si="196"/>
        <v>0</v>
      </c>
      <c r="BH138" s="24">
        <f t="shared" si="167"/>
        <v>1310667.8</v>
      </c>
      <c r="BI138" s="447">
        <f t="shared" si="182"/>
        <v>236.75</v>
      </c>
      <c r="BJ138" s="24">
        <f t="shared" ref="BJ138:BP138" si="198">BJ133+BJ134+BJ135+BJ136+BJ137</f>
        <v>918232.72</v>
      </c>
      <c r="BK138" s="24">
        <f t="shared" si="198"/>
        <v>277315.08</v>
      </c>
      <c r="BL138" s="24">
        <f t="shared" si="198"/>
        <v>67567</v>
      </c>
      <c r="BM138" s="24">
        <f>BM133+BM134+BM135+BM136+BM137</f>
        <v>27295</v>
      </c>
      <c r="BN138" s="24">
        <f>BN133+BN134+BN135+BN136+BN137</f>
        <v>0</v>
      </c>
      <c r="BO138" s="24">
        <f t="shared" si="198"/>
        <v>20258</v>
      </c>
      <c r="BP138" s="24">
        <f t="shared" si="198"/>
        <v>1310667.8</v>
      </c>
    </row>
    <row r="139" spans="1:68" ht="19.5" customHeight="1">
      <c r="A139" s="857" t="s">
        <v>194</v>
      </c>
      <c r="B139" s="648" t="s">
        <v>197</v>
      </c>
      <c r="C139" s="648" t="s">
        <v>189</v>
      </c>
      <c r="D139" s="157" t="s">
        <v>190</v>
      </c>
      <c r="E139" s="313">
        <v>343</v>
      </c>
      <c r="F139" s="671" t="s">
        <v>214</v>
      </c>
      <c r="G139" s="8">
        <f t="shared" si="193"/>
        <v>235.548</v>
      </c>
      <c r="H139" s="8">
        <f t="shared" si="190"/>
        <v>0</v>
      </c>
      <c r="I139" s="8">
        <f t="shared" si="186"/>
        <v>235.548</v>
      </c>
      <c r="J139" s="451">
        <f t="shared" si="194"/>
        <v>2.4079999999999999</v>
      </c>
      <c r="K139" s="8">
        <f t="shared" ref="K139:K144" si="199">ROUND((AM139+AN139+AO139+AP139+AQ139)/E139,2)</f>
        <v>0</v>
      </c>
      <c r="L139" s="8">
        <f t="shared" ref="L139:L146" si="200">ROUND((AS139+AT139+AU139+AV139+AW139)/E139,2)</f>
        <v>0</v>
      </c>
      <c r="M139" s="8">
        <f t="shared" si="151"/>
        <v>0</v>
      </c>
      <c r="N139" s="11">
        <f t="shared" si="152"/>
        <v>0</v>
      </c>
      <c r="O139" s="11">
        <f>ROUND(BF139/E139,2)</f>
        <v>2</v>
      </c>
      <c r="P139" s="453">
        <f t="shared" si="179"/>
        <v>1.032</v>
      </c>
      <c r="Q139" s="8">
        <f t="shared" si="188"/>
        <v>240.988</v>
      </c>
      <c r="R139" s="8">
        <f t="shared" ref="R139:R146" si="201">ROUND((Z139+AB139+AC139+AA139)/E139,2)</f>
        <v>0</v>
      </c>
      <c r="S139" s="8">
        <f t="shared" si="154"/>
        <v>0</v>
      </c>
      <c r="T139" s="627">
        <f>Q139+R139+S139</f>
        <v>240.988</v>
      </c>
      <c r="U139" s="671" t="s">
        <v>214</v>
      </c>
      <c r="V139" s="15">
        <v>62053</v>
      </c>
      <c r="W139" s="15">
        <f>ROUND(V139*0.302,0)</f>
        <v>18740</v>
      </c>
      <c r="X139" s="15"/>
      <c r="Y139" s="15"/>
      <c r="Z139" s="15"/>
      <c r="AA139" s="15"/>
      <c r="AB139" s="15"/>
      <c r="AC139" s="15"/>
      <c r="AD139" s="15">
        <v>590</v>
      </c>
      <c r="AE139" s="15"/>
      <c r="AF139" s="15">
        <v>59</v>
      </c>
      <c r="AG139" s="15">
        <v>177</v>
      </c>
      <c r="AH139" s="15"/>
      <c r="AI139" s="15"/>
      <c r="AJ139" s="15"/>
      <c r="AK139" s="15">
        <v>354</v>
      </c>
      <c r="AL139" s="15">
        <f>SUM(AD139:AK139)</f>
        <v>1180</v>
      </c>
      <c r="AM139" s="15"/>
      <c r="AN139" s="15"/>
      <c r="AO139" s="15"/>
      <c r="AP139" s="15"/>
      <c r="AQ139" s="15"/>
      <c r="AR139" s="705" t="s">
        <v>214</v>
      </c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>
        <f>ROUND(E139*2,0)</f>
        <v>686</v>
      </c>
      <c r="BG139" s="15"/>
      <c r="BH139" s="15">
        <f t="shared" si="167"/>
        <v>82659</v>
      </c>
      <c r="BI139" s="447">
        <f t="shared" si="182"/>
        <v>240.99</v>
      </c>
      <c r="BJ139" s="76">
        <f t="shared" ref="BJ139:BK143" si="202">V139+X139</f>
        <v>62053</v>
      </c>
      <c r="BK139" s="76">
        <f t="shared" si="202"/>
        <v>18740</v>
      </c>
      <c r="BL139" s="76">
        <f>Z139+AB139+AC139+AA139</f>
        <v>0</v>
      </c>
      <c r="BM139" s="76">
        <f>BF139</f>
        <v>686</v>
      </c>
      <c r="BN139" s="76">
        <f>BE139</f>
        <v>0</v>
      </c>
      <c r="BO139" s="76">
        <f>BG139+AL139+AM139+AN139+AO139+AP139+AQ139+AS139+AT139+AU139+AV139+AW139+AX139+AY139+AZ139+BA139+BB139+BC139+BD139</f>
        <v>1180</v>
      </c>
      <c r="BP139" s="92">
        <f>SUM(BJ139:BO139)</f>
        <v>82659</v>
      </c>
    </row>
    <row r="140" spans="1:68" ht="19.5" customHeight="1">
      <c r="A140" s="858"/>
      <c r="B140" s="849"/>
      <c r="C140" s="849"/>
      <c r="D140" s="157" t="s">
        <v>191</v>
      </c>
      <c r="E140" s="313">
        <v>366</v>
      </c>
      <c r="F140" s="829"/>
      <c r="G140" s="8">
        <f t="shared" si="193"/>
        <v>235.54400000000001</v>
      </c>
      <c r="H140" s="8">
        <f t="shared" si="190"/>
        <v>0</v>
      </c>
      <c r="I140" s="8">
        <f t="shared" si="186"/>
        <v>235.54400000000001</v>
      </c>
      <c r="J140" s="451">
        <f t="shared" si="194"/>
        <v>2.407</v>
      </c>
      <c r="K140" s="8">
        <f t="shared" si="199"/>
        <v>0</v>
      </c>
      <c r="L140" s="8">
        <f t="shared" si="200"/>
        <v>0</v>
      </c>
      <c r="M140" s="8">
        <f t="shared" si="151"/>
        <v>0</v>
      </c>
      <c r="N140" s="11">
        <f t="shared" si="152"/>
        <v>0</v>
      </c>
      <c r="O140" s="11">
        <f>ROUND(BF140/E140,2)</f>
        <v>9</v>
      </c>
      <c r="P140" s="453">
        <f t="shared" si="179"/>
        <v>1.0329999999999999</v>
      </c>
      <c r="Q140" s="8">
        <f t="shared" si="188"/>
        <v>247.98400000000001</v>
      </c>
      <c r="R140" s="8">
        <f t="shared" si="201"/>
        <v>0</v>
      </c>
      <c r="S140" s="8">
        <f t="shared" si="154"/>
        <v>0</v>
      </c>
      <c r="T140" s="627">
        <f>Q140+R140+S140</f>
        <v>247.98400000000001</v>
      </c>
      <c r="U140" s="829"/>
      <c r="V140" s="15">
        <v>66213</v>
      </c>
      <c r="W140" s="15">
        <f t="shared" ref="W140:W145" si="203">ROUND(V140*0.302,0)</f>
        <v>19996</v>
      </c>
      <c r="X140" s="15"/>
      <c r="Y140" s="15"/>
      <c r="Z140" s="15"/>
      <c r="AA140" s="15"/>
      <c r="AB140" s="15"/>
      <c r="AC140" s="15"/>
      <c r="AD140" s="15">
        <v>629</v>
      </c>
      <c r="AE140" s="15"/>
      <c r="AF140" s="15">
        <v>63</v>
      </c>
      <c r="AG140" s="15">
        <v>189</v>
      </c>
      <c r="AH140" s="15"/>
      <c r="AI140" s="15"/>
      <c r="AJ140" s="15"/>
      <c r="AK140" s="15">
        <v>378</v>
      </c>
      <c r="AL140" s="15">
        <f t="shared" ref="AL140:AL145" si="204">SUM(AD140:AK140)</f>
        <v>1259</v>
      </c>
      <c r="AM140" s="15"/>
      <c r="AN140" s="15"/>
      <c r="AO140" s="15"/>
      <c r="AP140" s="15"/>
      <c r="AQ140" s="15"/>
      <c r="AR140" s="827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>
        <f>ROUND(E140*9,0)</f>
        <v>3294</v>
      </c>
      <c r="BG140" s="15"/>
      <c r="BH140" s="15">
        <f t="shared" si="167"/>
        <v>90762</v>
      </c>
      <c r="BI140" s="447">
        <f t="shared" si="182"/>
        <v>247.98</v>
      </c>
      <c r="BJ140" s="76">
        <f t="shared" si="202"/>
        <v>66213</v>
      </c>
      <c r="BK140" s="76">
        <f t="shared" si="202"/>
        <v>19996</v>
      </c>
      <c r="BL140" s="76">
        <f>Z140+AB140+AC140+AA140</f>
        <v>0</v>
      </c>
      <c r="BM140" s="76">
        <f>BF140</f>
        <v>3294</v>
      </c>
      <c r="BN140" s="76">
        <f>BE140</f>
        <v>0</v>
      </c>
      <c r="BO140" s="76">
        <f>BG140+AL140+AM140+AN140+AO140+AP140+AQ140+AS140+AT140+AU140+AV140+AW140+AX140+AY140+AZ140+BA140+BB140+BC140+BD140</f>
        <v>1259</v>
      </c>
      <c r="BP140" s="92">
        <f>SUM(BJ140:BO140)</f>
        <v>90762</v>
      </c>
    </row>
    <row r="141" spans="1:68" ht="19.5" customHeight="1">
      <c r="A141" s="858"/>
      <c r="B141" s="849"/>
      <c r="C141" s="849"/>
      <c r="D141" s="157" t="s">
        <v>192</v>
      </c>
      <c r="E141" s="313">
        <v>149</v>
      </c>
      <c r="F141" s="829"/>
      <c r="G141" s="8">
        <f t="shared" si="193"/>
        <v>235.55</v>
      </c>
      <c r="H141" s="8">
        <f t="shared" si="190"/>
        <v>0</v>
      </c>
      <c r="I141" s="8">
        <f t="shared" si="186"/>
        <v>235.55</v>
      </c>
      <c r="J141" s="451">
        <f t="shared" si="194"/>
        <v>2.4089999999999998</v>
      </c>
      <c r="K141" s="8">
        <f t="shared" si="199"/>
        <v>0</v>
      </c>
      <c r="L141" s="8">
        <f t="shared" si="200"/>
        <v>0</v>
      </c>
      <c r="M141" s="8">
        <f t="shared" si="151"/>
        <v>0</v>
      </c>
      <c r="N141" s="11">
        <f t="shared" si="152"/>
        <v>0</v>
      </c>
      <c r="O141" s="11">
        <f>ROUND(BF141/E141,2)</f>
        <v>20</v>
      </c>
      <c r="P141" s="453">
        <f t="shared" si="179"/>
        <v>1.034</v>
      </c>
      <c r="Q141" s="8">
        <f t="shared" si="188"/>
        <v>258.99299999999999</v>
      </c>
      <c r="R141" s="8">
        <f t="shared" si="201"/>
        <v>0</v>
      </c>
      <c r="S141" s="8">
        <f t="shared" si="154"/>
        <v>0</v>
      </c>
      <c r="T141" s="627">
        <f>Q141+R141+S141</f>
        <v>258.99299999999999</v>
      </c>
      <c r="U141" s="829"/>
      <c r="V141" s="15">
        <v>26956</v>
      </c>
      <c r="W141" s="15">
        <f t="shared" si="203"/>
        <v>8141</v>
      </c>
      <c r="X141" s="15"/>
      <c r="Y141" s="15"/>
      <c r="Z141" s="15"/>
      <c r="AA141" s="15"/>
      <c r="AB141" s="15"/>
      <c r="AC141" s="15"/>
      <c r="AD141" s="15">
        <v>256</v>
      </c>
      <c r="AE141" s="15"/>
      <c r="AF141" s="15">
        <v>26</v>
      </c>
      <c r="AG141" s="15">
        <v>77</v>
      </c>
      <c r="AH141" s="15"/>
      <c r="AI141" s="15"/>
      <c r="AJ141" s="15"/>
      <c r="AK141" s="15">
        <v>154</v>
      </c>
      <c r="AL141" s="15">
        <f t="shared" si="204"/>
        <v>513</v>
      </c>
      <c r="AM141" s="15"/>
      <c r="AN141" s="15"/>
      <c r="AO141" s="15"/>
      <c r="AP141" s="15"/>
      <c r="AQ141" s="15"/>
      <c r="AR141" s="827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>
        <f>ROUND(E141*20,0)</f>
        <v>2980</v>
      </c>
      <c r="BG141" s="15"/>
      <c r="BH141" s="15">
        <f t="shared" si="167"/>
        <v>38590</v>
      </c>
      <c r="BI141" s="447">
        <f t="shared" si="182"/>
        <v>258.99</v>
      </c>
      <c r="BJ141" s="76">
        <f t="shared" si="202"/>
        <v>26956</v>
      </c>
      <c r="BK141" s="76">
        <f t="shared" si="202"/>
        <v>8141</v>
      </c>
      <c r="BL141" s="76">
        <f>Z141+AB141+AC141+AA141</f>
        <v>0</v>
      </c>
      <c r="BM141" s="76">
        <f>BF141</f>
        <v>2980</v>
      </c>
      <c r="BN141" s="76">
        <f>BE141</f>
        <v>0</v>
      </c>
      <c r="BO141" s="76">
        <f>BG141+AL141+AM141+AN141+AO141+AP141+AQ141+AS141+AT141+AU141+AV141+AW141+AX141+AY141+AZ141+BA141+BB141+BC141+BD141</f>
        <v>513</v>
      </c>
      <c r="BP141" s="92">
        <f>SUM(BJ141:BO141)</f>
        <v>38590</v>
      </c>
    </row>
    <row r="142" spans="1:68" ht="15" hidden="1" customHeight="1" outlineLevel="1">
      <c r="A142" s="858"/>
      <c r="B142" s="850"/>
      <c r="C142" s="850"/>
      <c r="D142" s="157" t="s">
        <v>193</v>
      </c>
      <c r="E142" s="313"/>
      <c r="F142" s="829"/>
      <c r="G142" s="8" t="e">
        <f t="shared" si="193"/>
        <v>#DIV/0!</v>
      </c>
      <c r="H142" s="8" t="e">
        <f t="shared" si="190"/>
        <v>#DIV/0!</v>
      </c>
      <c r="I142" s="8" t="e">
        <f t="shared" si="186"/>
        <v>#DIV/0!</v>
      </c>
      <c r="J142" s="451" t="e">
        <f t="shared" si="194"/>
        <v>#DIV/0!</v>
      </c>
      <c r="K142" s="8" t="e">
        <f t="shared" si="199"/>
        <v>#DIV/0!</v>
      </c>
      <c r="L142" s="8" t="e">
        <f t="shared" si="200"/>
        <v>#DIV/0!</v>
      </c>
      <c r="M142" s="8" t="e">
        <f t="shared" si="151"/>
        <v>#DIV/0!</v>
      </c>
      <c r="N142" s="11" t="e">
        <f t="shared" si="152"/>
        <v>#DIV/0!</v>
      </c>
      <c r="O142" s="11" t="e">
        <f>ROUND(BF142/E142,2)</f>
        <v>#DIV/0!</v>
      </c>
      <c r="P142" s="453" t="e">
        <f t="shared" si="179"/>
        <v>#DIV/0!</v>
      </c>
      <c r="Q142" s="8" t="e">
        <f t="shared" si="188"/>
        <v>#DIV/0!</v>
      </c>
      <c r="R142" s="8" t="e">
        <f t="shared" si="201"/>
        <v>#DIV/0!</v>
      </c>
      <c r="S142" s="8" t="e">
        <f t="shared" si="154"/>
        <v>#DIV/0!</v>
      </c>
      <c r="T142" s="627" t="e">
        <f>Q142+R142+S142</f>
        <v>#DIV/0!</v>
      </c>
      <c r="U142" s="829"/>
      <c r="V142" s="15">
        <v>0</v>
      </c>
      <c r="W142" s="15">
        <f t="shared" si="203"/>
        <v>0</v>
      </c>
      <c r="X142" s="15"/>
      <c r="Y142" s="15"/>
      <c r="Z142" s="15"/>
      <c r="AA142" s="15"/>
      <c r="AB142" s="15"/>
      <c r="AC142" s="15"/>
      <c r="AD142" s="15">
        <v>0</v>
      </c>
      <c r="AE142" s="15"/>
      <c r="AF142" s="15">
        <v>0</v>
      </c>
      <c r="AG142" s="15">
        <v>0</v>
      </c>
      <c r="AH142" s="15"/>
      <c r="AI142" s="15"/>
      <c r="AJ142" s="15"/>
      <c r="AK142" s="15">
        <v>0</v>
      </c>
      <c r="AL142" s="15">
        <f t="shared" si="204"/>
        <v>0</v>
      </c>
      <c r="AM142" s="15"/>
      <c r="AN142" s="15"/>
      <c r="AO142" s="15"/>
      <c r="AP142" s="15"/>
      <c r="AQ142" s="15"/>
      <c r="AR142" s="827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>
        <f>ROUND(E142*20,0)</f>
        <v>0</v>
      </c>
      <c r="BG142" s="15"/>
      <c r="BH142" s="15">
        <f t="shared" si="167"/>
        <v>0</v>
      </c>
      <c r="BI142" s="447" t="e">
        <f t="shared" si="182"/>
        <v>#DIV/0!</v>
      </c>
      <c r="BJ142" s="76">
        <f t="shared" si="202"/>
        <v>0</v>
      </c>
      <c r="BK142" s="76">
        <f t="shared" si="202"/>
        <v>0</v>
      </c>
      <c r="BL142" s="76">
        <f>Z142+AB142+AC142+AA142</f>
        <v>0</v>
      </c>
      <c r="BM142" s="76">
        <f>BF142</f>
        <v>0</v>
      </c>
      <c r="BN142" s="76">
        <f>BE142</f>
        <v>0</v>
      </c>
      <c r="BO142" s="76">
        <f>BG142+AL142+AM142+AN142+AO142+AP142+AQ142+AS142+AT142+AU142+AV142+AW142+AX142+AY142+AZ142+BA142+BB142+BC142+BD142</f>
        <v>0</v>
      </c>
      <c r="BP142" s="92">
        <f>SUM(BJ142:BO142)</f>
        <v>0</v>
      </c>
    </row>
    <row r="143" spans="1:68" ht="60" collapsed="1">
      <c r="A143" s="859"/>
      <c r="B143" s="9" t="s">
        <v>198</v>
      </c>
      <c r="C143" s="9" t="s">
        <v>196</v>
      </c>
      <c r="D143" s="157"/>
      <c r="E143" s="313">
        <v>3006</v>
      </c>
      <c r="F143" s="830"/>
      <c r="G143" s="8">
        <f t="shared" si="193"/>
        <v>117.97799999999999</v>
      </c>
      <c r="H143" s="8">
        <f t="shared" si="190"/>
        <v>0</v>
      </c>
      <c r="I143" s="8">
        <f t="shared" si="186"/>
        <v>117.97799999999999</v>
      </c>
      <c r="J143" s="451">
        <f t="shared" si="194"/>
        <v>0.88600000000000001</v>
      </c>
      <c r="K143" s="8">
        <f t="shared" si="199"/>
        <v>0</v>
      </c>
      <c r="L143" s="8">
        <f t="shared" si="200"/>
        <v>0</v>
      </c>
      <c r="M143" s="8">
        <f t="shared" si="151"/>
        <v>0</v>
      </c>
      <c r="N143" s="11">
        <f t="shared" si="152"/>
        <v>0</v>
      </c>
      <c r="O143" s="11">
        <f>ROUND(BF143/E143,3)</f>
        <v>4.0469999999999997</v>
      </c>
      <c r="P143" s="453">
        <f t="shared" si="179"/>
        <v>0.38900000000000001</v>
      </c>
      <c r="Q143" s="8">
        <f t="shared" si="188"/>
        <v>123.3</v>
      </c>
      <c r="R143" s="8">
        <f t="shared" si="201"/>
        <v>0</v>
      </c>
      <c r="S143" s="8">
        <f t="shared" si="154"/>
        <v>0</v>
      </c>
      <c r="T143" s="627">
        <f>Q143+R143+S143</f>
        <v>123.3</v>
      </c>
      <c r="U143" s="830"/>
      <c r="V143" s="15">
        <v>272382</v>
      </c>
      <c r="W143" s="15">
        <f t="shared" si="203"/>
        <v>82259</v>
      </c>
      <c r="X143" s="15"/>
      <c r="Y143" s="15"/>
      <c r="Z143" s="15"/>
      <c r="AA143" s="15"/>
      <c r="AB143" s="15"/>
      <c r="AC143" s="15"/>
      <c r="AD143" s="15">
        <v>1884</v>
      </c>
      <c r="AE143" s="15"/>
      <c r="AF143" s="15">
        <v>195</v>
      </c>
      <c r="AG143" s="15">
        <v>584</v>
      </c>
      <c r="AH143" s="15"/>
      <c r="AI143" s="15"/>
      <c r="AJ143" s="15"/>
      <c r="AK143" s="15">
        <v>1168</v>
      </c>
      <c r="AL143" s="15">
        <f t="shared" si="204"/>
        <v>3831</v>
      </c>
      <c r="AM143" s="15"/>
      <c r="AN143" s="15"/>
      <c r="AO143" s="15"/>
      <c r="AP143" s="15"/>
      <c r="AQ143" s="15"/>
      <c r="AR143" s="828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>
        <f>BF144-BF139-BF140-BF141-BF142</f>
        <v>12165</v>
      </c>
      <c r="BG143" s="15"/>
      <c r="BH143" s="15">
        <f t="shared" ref="BH143:BH161" si="205">V143+W143+X143+Y143+Z143+AB143+AC143+AL143+AM143+AN143+AO143+AP143+AS143+AT143+AU143+AV143+AW143+AX143+AY143+AZ143+BA143+BB143+BC143+BD143+BE143+BF143+BG143+AQ143+AA143</f>
        <v>370637</v>
      </c>
      <c r="BI143" s="447">
        <f t="shared" si="182"/>
        <v>123.3</v>
      </c>
      <c r="BJ143" s="76">
        <f t="shared" si="202"/>
        <v>272382</v>
      </c>
      <c r="BK143" s="76">
        <f t="shared" si="202"/>
        <v>82259</v>
      </c>
      <c r="BL143" s="76">
        <f>Z143+AB143+AC143+AA143</f>
        <v>0</v>
      </c>
      <c r="BM143" s="76">
        <f>BF143</f>
        <v>12165</v>
      </c>
      <c r="BN143" s="76">
        <f>BE143</f>
        <v>0</v>
      </c>
      <c r="BO143" s="76">
        <f>BG143+AL143+AM143+AN143+AO143+AP143+AQ143+AS143+AT143+AU143+AV143+AW143+AX143+AY143+AZ143+BA143+BB143+BC143+BD143</f>
        <v>3831</v>
      </c>
      <c r="BP143" s="92">
        <f>SUM(BJ143:BO143)</f>
        <v>370637</v>
      </c>
    </row>
    <row r="144" spans="1:68" ht="27.75" customHeight="1">
      <c r="A144" s="109" t="s">
        <v>251</v>
      </c>
      <c r="B144" s="29"/>
      <c r="C144" s="29" t="s">
        <v>252</v>
      </c>
      <c r="D144" s="158"/>
      <c r="E144" s="32">
        <v>4719</v>
      </c>
      <c r="F144" s="159"/>
      <c r="G144" s="30">
        <f t="shared" si="193"/>
        <v>117.97799999999999</v>
      </c>
      <c r="H144" s="30">
        <f t="shared" si="190"/>
        <v>0</v>
      </c>
      <c r="I144" s="30">
        <f t="shared" ref="I144:I162" si="206">G144+H144</f>
        <v>117.97799999999999</v>
      </c>
      <c r="J144" s="30">
        <f>ROUND((AL144-AK144)/E144,2)</f>
        <v>1</v>
      </c>
      <c r="K144" s="30">
        <f t="shared" si="199"/>
        <v>0</v>
      </c>
      <c r="L144" s="30">
        <f t="shared" si="200"/>
        <v>0</v>
      </c>
      <c r="M144" s="30">
        <f t="shared" si="151"/>
        <v>0</v>
      </c>
      <c r="N144" s="33">
        <f t="shared" si="152"/>
        <v>0</v>
      </c>
      <c r="O144" s="33">
        <f>ROUND(BF144/E144,3)</f>
        <v>4.0529999999999999</v>
      </c>
      <c r="P144" s="33">
        <f t="shared" si="179"/>
        <v>0.435</v>
      </c>
      <c r="Q144" s="30">
        <f t="shared" ref="Q144:Q162" si="207">P144+O144+N144+M144+L144+K144+J144+I144</f>
        <v>123.46599999999999</v>
      </c>
      <c r="R144" s="30">
        <f t="shared" si="201"/>
        <v>0</v>
      </c>
      <c r="S144" s="30">
        <f t="shared" si="154"/>
        <v>0</v>
      </c>
      <c r="T144" s="627">
        <f t="shared" ref="T144:T166" si="208">Q144+R144+S144</f>
        <v>123.46599999999999</v>
      </c>
      <c r="U144" s="159"/>
      <c r="V144" s="24">
        <f>SUM(V139:V143)</f>
        <v>427604</v>
      </c>
      <c r="W144" s="24">
        <f>SUM(W139:W143)</f>
        <v>129136</v>
      </c>
      <c r="X144" s="24">
        <f t="shared" ref="X144:BG144" si="209">X139+X140+X141+X142+X143</f>
        <v>0</v>
      </c>
      <c r="Y144" s="24">
        <f t="shared" si="209"/>
        <v>0</v>
      </c>
      <c r="Z144" s="24">
        <f t="shared" si="209"/>
        <v>0</v>
      </c>
      <c r="AA144" s="24">
        <f t="shared" si="209"/>
        <v>0</v>
      </c>
      <c r="AB144" s="24">
        <f t="shared" si="209"/>
        <v>0</v>
      </c>
      <c r="AC144" s="24">
        <f t="shared" si="209"/>
        <v>0</v>
      </c>
      <c r="AD144" s="24">
        <f>SUM(AD139:AD143)</f>
        <v>3359</v>
      </c>
      <c r="AE144" s="24">
        <f t="shared" ref="AE144:AL144" si="210">SUM(AE139:AE143)</f>
        <v>0</v>
      </c>
      <c r="AF144" s="24">
        <f t="shared" si="210"/>
        <v>343</v>
      </c>
      <c r="AG144" s="24">
        <f t="shared" si="210"/>
        <v>1027</v>
      </c>
      <c r="AH144" s="24">
        <f t="shared" si="210"/>
        <v>0</v>
      </c>
      <c r="AI144" s="24">
        <f t="shared" si="210"/>
        <v>0</v>
      </c>
      <c r="AJ144" s="24">
        <f t="shared" si="210"/>
        <v>0</v>
      </c>
      <c r="AK144" s="24">
        <f t="shared" si="210"/>
        <v>2054</v>
      </c>
      <c r="AL144" s="24">
        <f t="shared" si="210"/>
        <v>6783</v>
      </c>
      <c r="AM144" s="24">
        <f t="shared" si="209"/>
        <v>0</v>
      </c>
      <c r="AN144" s="24">
        <f t="shared" si="209"/>
        <v>0</v>
      </c>
      <c r="AO144" s="24">
        <f t="shared" si="209"/>
        <v>0</v>
      </c>
      <c r="AP144" s="24">
        <f t="shared" si="209"/>
        <v>0</v>
      </c>
      <c r="AQ144" s="24">
        <f t="shared" si="209"/>
        <v>0</v>
      </c>
      <c r="AR144" s="307"/>
      <c r="AS144" s="24">
        <f t="shared" si="209"/>
        <v>0</v>
      </c>
      <c r="AT144" s="24">
        <f t="shared" si="209"/>
        <v>0</v>
      </c>
      <c r="AU144" s="24">
        <f t="shared" si="209"/>
        <v>0</v>
      </c>
      <c r="AV144" s="24">
        <f t="shared" si="209"/>
        <v>0</v>
      </c>
      <c r="AW144" s="24">
        <f t="shared" si="209"/>
        <v>0</v>
      </c>
      <c r="AX144" s="24">
        <f t="shared" si="209"/>
        <v>0</v>
      </c>
      <c r="AY144" s="24">
        <f t="shared" si="209"/>
        <v>0</v>
      </c>
      <c r="AZ144" s="24">
        <f t="shared" si="209"/>
        <v>0</v>
      </c>
      <c r="BA144" s="24">
        <f t="shared" si="209"/>
        <v>0</v>
      </c>
      <c r="BB144" s="24">
        <f t="shared" si="209"/>
        <v>0</v>
      </c>
      <c r="BC144" s="24">
        <f t="shared" si="209"/>
        <v>0</v>
      </c>
      <c r="BD144" s="24">
        <f t="shared" si="209"/>
        <v>0</v>
      </c>
      <c r="BE144" s="24">
        <f t="shared" si="209"/>
        <v>0</v>
      </c>
      <c r="BF144" s="24">
        <v>19125</v>
      </c>
      <c r="BG144" s="24">
        <f t="shared" si="209"/>
        <v>0</v>
      </c>
      <c r="BH144" s="24">
        <f t="shared" si="205"/>
        <v>582648</v>
      </c>
      <c r="BI144" s="447">
        <f t="shared" si="182"/>
        <v>123.47</v>
      </c>
      <c r="BJ144" s="24">
        <f t="shared" ref="BJ144:BP144" si="211">BJ139+BJ140+BJ141+BJ142+BJ143</f>
        <v>427604</v>
      </c>
      <c r="BK144" s="24">
        <f t="shared" si="211"/>
        <v>129136</v>
      </c>
      <c r="BL144" s="24">
        <f t="shared" si="211"/>
        <v>0</v>
      </c>
      <c r="BM144" s="24">
        <f t="shared" si="211"/>
        <v>19125</v>
      </c>
      <c r="BN144" s="24">
        <f t="shared" si="211"/>
        <v>0</v>
      </c>
      <c r="BO144" s="24">
        <f t="shared" si="211"/>
        <v>6783</v>
      </c>
      <c r="BP144" s="24">
        <f t="shared" si="211"/>
        <v>582648</v>
      </c>
    </row>
    <row r="145" spans="1:68" ht="18.75" customHeight="1">
      <c r="A145" s="857" t="s">
        <v>194</v>
      </c>
      <c r="B145" s="648" t="s">
        <v>197</v>
      </c>
      <c r="C145" s="648" t="s">
        <v>189</v>
      </c>
      <c r="D145" s="157" t="s">
        <v>190</v>
      </c>
      <c r="E145" s="313">
        <v>50</v>
      </c>
      <c r="F145" s="671" t="s">
        <v>215</v>
      </c>
      <c r="G145" s="8">
        <f t="shared" si="193"/>
        <v>860.12</v>
      </c>
      <c r="H145" s="8">
        <f t="shared" si="190"/>
        <v>0</v>
      </c>
      <c r="I145" s="8">
        <f t="shared" si="206"/>
        <v>860.12</v>
      </c>
      <c r="J145" s="451">
        <f>ROUND((AL145-AK145)/E145,3)</f>
        <v>4.96</v>
      </c>
      <c r="K145" s="8">
        <f>ROUND((AM145+AN145+AO145+AP145+AQ145)/E145,3)</f>
        <v>0</v>
      </c>
      <c r="L145" s="8">
        <f t="shared" si="200"/>
        <v>0</v>
      </c>
      <c r="M145" s="8">
        <f t="shared" si="151"/>
        <v>0</v>
      </c>
      <c r="N145" s="11">
        <f t="shared" si="152"/>
        <v>0</v>
      </c>
      <c r="O145" s="11">
        <f>ROUND(BF145/E145,3)</f>
        <v>2</v>
      </c>
      <c r="P145" s="453">
        <f t="shared" si="179"/>
        <v>2.1</v>
      </c>
      <c r="Q145" s="8">
        <f t="shared" si="207"/>
        <v>869.18</v>
      </c>
      <c r="R145" s="8">
        <f t="shared" si="201"/>
        <v>0</v>
      </c>
      <c r="S145" s="8">
        <f t="shared" si="154"/>
        <v>0</v>
      </c>
      <c r="T145" s="627">
        <f t="shared" si="208"/>
        <v>869.18</v>
      </c>
      <c r="U145" s="671" t="s">
        <v>215</v>
      </c>
      <c r="V145" s="15">
        <v>33031</v>
      </c>
      <c r="W145" s="15">
        <f t="shared" si="203"/>
        <v>9975</v>
      </c>
      <c r="X145" s="15"/>
      <c r="Y145" s="15"/>
      <c r="Z145" s="15"/>
      <c r="AA145" s="15"/>
      <c r="AB145" s="15"/>
      <c r="AC145" s="15"/>
      <c r="AD145" s="15">
        <v>105</v>
      </c>
      <c r="AE145" s="15"/>
      <c r="AF145" s="15">
        <v>61</v>
      </c>
      <c r="AG145" s="15">
        <v>82</v>
      </c>
      <c r="AH145" s="15"/>
      <c r="AI145" s="15"/>
      <c r="AJ145" s="15"/>
      <c r="AK145" s="15">
        <v>105</v>
      </c>
      <c r="AL145" s="15">
        <f t="shared" si="204"/>
        <v>353</v>
      </c>
      <c r="AM145" s="15"/>
      <c r="AN145" s="15"/>
      <c r="AO145" s="15"/>
      <c r="AP145" s="15"/>
      <c r="AQ145" s="15"/>
      <c r="AR145" s="705" t="s">
        <v>215</v>
      </c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>
        <f>ROUND(E145*2,0)</f>
        <v>100</v>
      </c>
      <c r="BG145" s="15"/>
      <c r="BH145" s="15">
        <f t="shared" si="205"/>
        <v>43459</v>
      </c>
      <c r="BI145" s="447">
        <f t="shared" si="182"/>
        <v>869.18</v>
      </c>
      <c r="BJ145" s="76">
        <f t="shared" ref="BJ145:BK149" si="212">V145+X145</f>
        <v>33031</v>
      </c>
      <c r="BK145" s="76">
        <f t="shared" si="212"/>
        <v>9975</v>
      </c>
      <c r="BL145" s="76">
        <f>Z145+AB145+AC145+AA145</f>
        <v>0</v>
      </c>
      <c r="BM145" s="76">
        <f>BF145</f>
        <v>100</v>
      </c>
      <c r="BN145" s="76">
        <f>BE145</f>
        <v>0</v>
      </c>
      <c r="BO145" s="76">
        <f>BG145+AL145+AM145+AN145+AO145+AP145+AQ145+AS145+AT145+AU145+AV145+AW145+AX145+AY145+AZ145+BA145+BB145+BC145+BD145</f>
        <v>353</v>
      </c>
      <c r="BP145" s="92">
        <f>SUM(BJ145:BO145)</f>
        <v>43459</v>
      </c>
    </row>
    <row r="146" spans="1:68" ht="15" hidden="1" customHeight="1" outlineLevel="1">
      <c r="A146" s="858"/>
      <c r="B146" s="849"/>
      <c r="C146" s="849"/>
      <c r="D146" s="157" t="s">
        <v>191</v>
      </c>
      <c r="E146" s="313">
        <v>0</v>
      </c>
      <c r="F146" s="829"/>
      <c r="G146" s="8" t="e">
        <f t="shared" si="193"/>
        <v>#DIV/0!</v>
      </c>
      <c r="H146" s="8" t="e">
        <f t="shared" si="190"/>
        <v>#DIV/0!</v>
      </c>
      <c r="I146" s="8" t="e">
        <f t="shared" si="206"/>
        <v>#DIV/0!</v>
      </c>
      <c r="J146" s="451" t="e">
        <f>ROUND((AL146-AK146)/E146,3)</f>
        <v>#DIV/0!</v>
      </c>
      <c r="K146" s="8" t="e">
        <f>ROUND((AM146+AN146+AO146+AP146+AQ146)/E146,2)</f>
        <v>#DIV/0!</v>
      </c>
      <c r="L146" s="8" t="e">
        <f t="shared" si="200"/>
        <v>#DIV/0!</v>
      </c>
      <c r="M146" s="8" t="e">
        <f t="shared" si="151"/>
        <v>#DIV/0!</v>
      </c>
      <c r="N146" s="11" t="e">
        <f t="shared" si="152"/>
        <v>#DIV/0!</v>
      </c>
      <c r="O146" s="11" t="e">
        <f>ROUND(BF146/E146,3)</f>
        <v>#DIV/0!</v>
      </c>
      <c r="P146" s="453" t="e">
        <f t="shared" si="179"/>
        <v>#DIV/0!</v>
      </c>
      <c r="Q146" s="8" t="e">
        <f t="shared" si="207"/>
        <v>#DIV/0!</v>
      </c>
      <c r="R146" s="8" t="e">
        <f t="shared" si="201"/>
        <v>#DIV/0!</v>
      </c>
      <c r="S146" s="8" t="e">
        <f t="shared" si="154"/>
        <v>#DIV/0!</v>
      </c>
      <c r="T146" s="627" t="e">
        <f t="shared" si="208"/>
        <v>#DIV/0!</v>
      </c>
      <c r="U146" s="829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827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>
        <f>ROUND(E146*9,0)</f>
        <v>0</v>
      </c>
      <c r="BG146" s="15"/>
      <c r="BH146" s="15">
        <f t="shared" si="205"/>
        <v>0</v>
      </c>
      <c r="BI146" s="447" t="e">
        <f t="shared" si="182"/>
        <v>#DIV/0!</v>
      </c>
      <c r="BJ146" s="76">
        <v>0</v>
      </c>
      <c r="BK146" s="76">
        <f t="shared" si="212"/>
        <v>0</v>
      </c>
      <c r="BL146" s="76">
        <f>Z146+AB146+AC146+AA146</f>
        <v>0</v>
      </c>
      <c r="BM146" s="76">
        <f>BF146</f>
        <v>0</v>
      </c>
      <c r="BN146" s="76">
        <f>BE146</f>
        <v>0</v>
      </c>
      <c r="BO146" s="76">
        <f>BG146+AL146+AM146+AN146+AO146+AP146+AQ146+AS146+AT146+AU146+AV146+AW146+AX146+AY146+AZ146+BA146+BB146+BC146+BD146</f>
        <v>0</v>
      </c>
      <c r="BP146" s="92">
        <f>SUM(BJ146:BO146)</f>
        <v>0</v>
      </c>
    </row>
    <row r="147" spans="1:68" ht="50.25" customHeight="1" collapsed="1">
      <c r="A147" s="858"/>
      <c r="B147" s="849"/>
      <c r="C147" s="849"/>
      <c r="D147" s="157" t="s">
        <v>192</v>
      </c>
      <c r="E147" s="313">
        <v>0</v>
      </c>
      <c r="F147" s="829"/>
      <c r="G147" s="8">
        <v>0</v>
      </c>
      <c r="H147" s="8">
        <v>0</v>
      </c>
      <c r="I147" s="8">
        <v>0</v>
      </c>
      <c r="J147" s="451" t="e">
        <f>ROUND((AL147-AK147)/E147,3)</f>
        <v>#DIV/0!</v>
      </c>
      <c r="K147" s="8">
        <v>0</v>
      </c>
      <c r="L147" s="8">
        <v>0</v>
      </c>
      <c r="M147" s="8">
        <v>0</v>
      </c>
      <c r="N147" s="8">
        <v>0</v>
      </c>
      <c r="O147" s="11">
        <v>0</v>
      </c>
      <c r="P147" s="453">
        <v>0</v>
      </c>
      <c r="Q147" s="8">
        <v>0</v>
      </c>
      <c r="R147" s="8">
        <v>0</v>
      </c>
      <c r="S147" s="8">
        <v>0</v>
      </c>
      <c r="T147" s="627">
        <f t="shared" si="208"/>
        <v>0</v>
      </c>
      <c r="U147" s="829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827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>
        <f>ROUND(E147*20,0)</f>
        <v>0</v>
      </c>
      <c r="BG147" s="15"/>
      <c r="BH147" s="15">
        <f t="shared" si="205"/>
        <v>0</v>
      </c>
      <c r="BI147" s="447">
        <v>0</v>
      </c>
      <c r="BJ147" s="76">
        <f t="shared" si="212"/>
        <v>0</v>
      </c>
      <c r="BK147" s="76">
        <f t="shared" si="212"/>
        <v>0</v>
      </c>
      <c r="BL147" s="76">
        <f>Z147+AB147+AC147+AA147</f>
        <v>0</v>
      </c>
      <c r="BM147" s="76">
        <f>BF147</f>
        <v>0</v>
      </c>
      <c r="BN147" s="76">
        <f>BE147</f>
        <v>0</v>
      </c>
      <c r="BO147" s="76">
        <f>BG147+AL147+AM147+AN147+AO147+AP147+AQ147+AS147+AT147+AU147+AV147+AW147+AX147+AY147+AZ147+BA147+BB147+BC147+BD147</f>
        <v>0</v>
      </c>
      <c r="BP147" s="92">
        <f>SUM(BJ147:BO147)</f>
        <v>0</v>
      </c>
    </row>
    <row r="148" spans="1:68" ht="15" hidden="1" customHeight="1" outlineLevel="1">
      <c r="A148" s="858"/>
      <c r="B148" s="850"/>
      <c r="C148" s="850"/>
      <c r="D148" s="157" t="s">
        <v>193</v>
      </c>
      <c r="E148" s="313"/>
      <c r="F148" s="829"/>
      <c r="G148" s="8" t="e">
        <f>ROUND((V148+W148)/E148,3)</f>
        <v>#DIV/0!</v>
      </c>
      <c r="H148" s="8" t="e">
        <f t="shared" ref="H148:H159" si="213">ROUND((X148+Y148)/E148,2)</f>
        <v>#DIV/0!</v>
      </c>
      <c r="I148" s="8" t="e">
        <f t="shared" si="206"/>
        <v>#DIV/0!</v>
      </c>
      <c r="J148" s="451" t="e">
        <f>ROUND((AL148-AK148)/E148,3)</f>
        <v>#DIV/0!</v>
      </c>
      <c r="K148" s="8" t="e">
        <f t="shared" ref="K148:K176" si="214">ROUND((AM148+AN148+AO148+AP148+AQ148)/E148,2)</f>
        <v>#DIV/0!</v>
      </c>
      <c r="L148" s="8" t="e">
        <f t="shared" ref="L148:L176" si="215">ROUND((AS148+AT148+AU148+AV148+AW148)/E148,2)</f>
        <v>#DIV/0!</v>
      </c>
      <c r="M148" s="8" t="e">
        <f t="shared" ref="M148:M176" si="216">ROUND((AZ148+BA148)/E148,2)</f>
        <v>#DIV/0!</v>
      </c>
      <c r="N148" s="11" t="e">
        <f t="shared" ref="N148:N176" si="217">ROUND(BE148/E148,2)</f>
        <v>#DIV/0!</v>
      </c>
      <c r="O148" s="11" t="e">
        <f>ROUND(BF148/E148,3)</f>
        <v>#DIV/0!</v>
      </c>
      <c r="P148" s="453" t="e">
        <f t="shared" ref="P148:P162" si="218">ROUND(AK148/E148,3)</f>
        <v>#DIV/0!</v>
      </c>
      <c r="Q148" s="8" t="e">
        <f t="shared" si="207"/>
        <v>#DIV/0!</v>
      </c>
      <c r="R148" s="8" t="e">
        <f t="shared" ref="R148:R162" si="219">ROUND((Z148+AB148+AC148+AA148)/E148,2)</f>
        <v>#DIV/0!</v>
      </c>
      <c r="S148" s="8" t="e">
        <f t="shared" ref="S148:S176" si="220">ROUND(AX148/E148,2)</f>
        <v>#DIV/0!</v>
      </c>
      <c r="T148" s="627" t="e">
        <f t="shared" si="208"/>
        <v>#DIV/0!</v>
      </c>
      <c r="U148" s="829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827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>
        <f>ROUND(E148*20,0)</f>
        <v>0</v>
      </c>
      <c r="BG148" s="15"/>
      <c r="BH148" s="15">
        <f t="shared" si="205"/>
        <v>0</v>
      </c>
      <c r="BI148" s="447" t="e">
        <f t="shared" si="182"/>
        <v>#DIV/0!</v>
      </c>
      <c r="BJ148" s="76">
        <v>0</v>
      </c>
      <c r="BK148" s="76">
        <f t="shared" si="212"/>
        <v>0</v>
      </c>
      <c r="BL148" s="76">
        <f>Z148+AB148+AC148+AA148</f>
        <v>0</v>
      </c>
      <c r="BM148" s="76">
        <f>BF148</f>
        <v>0</v>
      </c>
      <c r="BN148" s="76">
        <f>BE148</f>
        <v>0</v>
      </c>
      <c r="BO148" s="76">
        <f>BG148+AL148+AM148+AN148+AO148+AP148+AQ148+AS148+AT148+AU148+AV148+AW148+AX148+AY148+AZ148+BA148+BB148+BC148+BD148</f>
        <v>0</v>
      </c>
      <c r="BP148" s="92">
        <f>SUM(BJ148:BO148)</f>
        <v>0</v>
      </c>
    </row>
    <row r="149" spans="1:68" ht="68.25" customHeight="1" collapsed="1">
      <c r="A149" s="859"/>
      <c r="B149" s="9" t="s">
        <v>198</v>
      </c>
      <c r="C149" s="9" t="s">
        <v>196</v>
      </c>
      <c r="D149" s="157"/>
      <c r="E149" s="313">
        <v>562</v>
      </c>
      <c r="F149" s="830"/>
      <c r="G149" s="8">
        <f>ROUND((V149+W149)/E149,3)</f>
        <v>374.08800000000002</v>
      </c>
      <c r="H149" s="8">
        <f t="shared" si="213"/>
        <v>0</v>
      </c>
      <c r="I149" s="8">
        <f t="shared" si="206"/>
        <v>374.08800000000002</v>
      </c>
      <c r="J149" s="451">
        <f>ROUND((AL149-AK149)/E149,3)</f>
        <v>3.8380000000000001</v>
      </c>
      <c r="K149" s="8">
        <f t="shared" si="214"/>
        <v>0</v>
      </c>
      <c r="L149" s="8">
        <f t="shared" si="215"/>
        <v>0</v>
      </c>
      <c r="M149" s="8">
        <f t="shared" si="216"/>
        <v>0</v>
      </c>
      <c r="N149" s="11">
        <f t="shared" si="217"/>
        <v>0</v>
      </c>
      <c r="O149" s="11">
        <f>ROUND(BF149/E149,3)</f>
        <v>1.502</v>
      </c>
      <c r="P149" s="453">
        <f t="shared" si="218"/>
        <v>2.1280000000000001</v>
      </c>
      <c r="Q149" s="8">
        <f t="shared" si="207"/>
        <v>381.55600000000004</v>
      </c>
      <c r="R149" s="8">
        <f t="shared" si="219"/>
        <v>0</v>
      </c>
      <c r="S149" s="8">
        <f t="shared" si="220"/>
        <v>0</v>
      </c>
      <c r="T149" s="627">
        <f t="shared" si="208"/>
        <v>381.55600000000004</v>
      </c>
      <c r="U149" s="830"/>
      <c r="V149" s="15">
        <v>161504.44</v>
      </c>
      <c r="W149" s="15">
        <f>58708.1-W145</f>
        <v>48733.1</v>
      </c>
      <c r="X149" s="15"/>
      <c r="Y149" s="15"/>
      <c r="Z149" s="15"/>
      <c r="AA149" s="15"/>
      <c r="AB149" s="15"/>
      <c r="AC149" s="15"/>
      <c r="AD149" s="15">
        <v>1362</v>
      </c>
      <c r="AE149" s="15"/>
      <c r="AF149" s="15">
        <v>476</v>
      </c>
      <c r="AG149" s="15">
        <v>319</v>
      </c>
      <c r="AH149" s="15"/>
      <c r="AI149" s="15"/>
      <c r="AJ149" s="15"/>
      <c r="AK149" s="15">
        <f>3706-AL145-AD149-AF149-AG149</f>
        <v>1196</v>
      </c>
      <c r="AL149" s="15">
        <f t="shared" ref="AL149:AL161" si="221">SUM(AD149:AK149)</f>
        <v>3353</v>
      </c>
      <c r="AM149" s="15"/>
      <c r="AN149" s="15"/>
      <c r="AO149" s="15"/>
      <c r="AP149" s="15"/>
      <c r="AQ149" s="15"/>
      <c r="AR149" s="828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>
        <f>BF150-BF145-BF146-BF147-BF148</f>
        <v>844</v>
      </c>
      <c r="BG149" s="15"/>
      <c r="BH149" s="15">
        <f t="shared" si="205"/>
        <v>214434.54</v>
      </c>
      <c r="BI149" s="447">
        <f t="shared" si="182"/>
        <v>381.56</v>
      </c>
      <c r="BJ149" s="76">
        <f t="shared" si="212"/>
        <v>161504.44</v>
      </c>
      <c r="BK149" s="76">
        <f t="shared" si="212"/>
        <v>48733.1</v>
      </c>
      <c r="BL149" s="76">
        <f>Z149+AB149+AC149+AA149</f>
        <v>0</v>
      </c>
      <c r="BM149" s="76">
        <f>BF149</f>
        <v>844</v>
      </c>
      <c r="BN149" s="76">
        <f>BE149</f>
        <v>0</v>
      </c>
      <c r="BO149" s="76">
        <f>BG149+AL149+AM149+AN149+AO149+AP149+AQ149+AS149+AT149+AU149+AV149+AW149+AX149+AY149+AZ149+BA149+BB149+BC149+BD149</f>
        <v>3353</v>
      </c>
      <c r="BP149" s="92">
        <f>SUM(BJ149:BO149)</f>
        <v>214434.54</v>
      </c>
    </row>
    <row r="150" spans="1:68" ht="27.75" customHeight="1">
      <c r="A150" s="109" t="s">
        <v>251</v>
      </c>
      <c r="B150" s="29"/>
      <c r="C150" s="29" t="s">
        <v>252</v>
      </c>
      <c r="D150" s="158"/>
      <c r="E150" s="32">
        <v>662</v>
      </c>
      <c r="F150" s="159"/>
      <c r="G150" s="30">
        <f>ROUND((V150+W150)/E150,2)</f>
        <v>382.54</v>
      </c>
      <c r="H150" s="30">
        <f t="shared" si="213"/>
        <v>0</v>
      </c>
      <c r="I150" s="30">
        <f t="shared" si="206"/>
        <v>382.54</v>
      </c>
      <c r="J150" s="30">
        <f>ROUND((AL150-AK150)/E150,2)</f>
        <v>3.63</v>
      </c>
      <c r="K150" s="30">
        <f t="shared" si="214"/>
        <v>0</v>
      </c>
      <c r="L150" s="30">
        <f t="shared" si="215"/>
        <v>0</v>
      </c>
      <c r="M150" s="30">
        <f t="shared" si="216"/>
        <v>0</v>
      </c>
      <c r="N150" s="33">
        <f t="shared" si="217"/>
        <v>0</v>
      </c>
      <c r="O150" s="33">
        <f t="shared" ref="O150:O160" si="222">ROUND(BF150/E150,2)</f>
        <v>1.43</v>
      </c>
      <c r="P150" s="33">
        <f t="shared" si="218"/>
        <v>1.9650000000000001</v>
      </c>
      <c r="Q150" s="30">
        <f t="shared" si="207"/>
        <v>389.565</v>
      </c>
      <c r="R150" s="30">
        <f t="shared" si="219"/>
        <v>0</v>
      </c>
      <c r="S150" s="30">
        <f t="shared" si="220"/>
        <v>0</v>
      </c>
      <c r="T150" s="627">
        <f t="shared" si="208"/>
        <v>389.565</v>
      </c>
      <c r="U150" s="159"/>
      <c r="V150" s="24">
        <f>SUM(V145:V149)</f>
        <v>194535.44</v>
      </c>
      <c r="W150" s="24">
        <f>SUM(W145:W149)</f>
        <v>58708.1</v>
      </c>
      <c r="X150" s="24">
        <f t="shared" ref="X150:BG150" si="223">X145+X146+X147+X148+X149</f>
        <v>0</v>
      </c>
      <c r="Y150" s="24">
        <f t="shared" si="223"/>
        <v>0</v>
      </c>
      <c r="Z150" s="24">
        <f t="shared" si="223"/>
        <v>0</v>
      </c>
      <c r="AA150" s="24">
        <f t="shared" si="223"/>
        <v>0</v>
      </c>
      <c r="AB150" s="24">
        <f t="shared" si="223"/>
        <v>0</v>
      </c>
      <c r="AC150" s="24">
        <f t="shared" si="223"/>
        <v>0</v>
      </c>
      <c r="AD150" s="24">
        <f>AD145+AD146+AD147+AD148+AD149</f>
        <v>1467</v>
      </c>
      <c r="AE150" s="24">
        <f t="shared" si="223"/>
        <v>0</v>
      </c>
      <c r="AF150" s="24">
        <f t="shared" si="223"/>
        <v>537</v>
      </c>
      <c r="AG150" s="24">
        <f t="shared" si="223"/>
        <v>401</v>
      </c>
      <c r="AH150" s="24">
        <f t="shared" si="223"/>
        <v>0</v>
      </c>
      <c r="AI150" s="24">
        <f t="shared" si="223"/>
        <v>0</v>
      </c>
      <c r="AJ150" s="24">
        <f t="shared" si="223"/>
        <v>0</v>
      </c>
      <c r="AK150" s="24">
        <f t="shared" si="223"/>
        <v>1301</v>
      </c>
      <c r="AL150" s="24">
        <f t="shared" si="223"/>
        <v>3706</v>
      </c>
      <c r="AM150" s="24">
        <f t="shared" si="223"/>
        <v>0</v>
      </c>
      <c r="AN150" s="24">
        <f t="shared" si="223"/>
        <v>0</v>
      </c>
      <c r="AO150" s="24">
        <f t="shared" si="223"/>
        <v>0</v>
      </c>
      <c r="AP150" s="24">
        <f t="shared" si="223"/>
        <v>0</v>
      </c>
      <c r="AQ150" s="24">
        <f t="shared" si="223"/>
        <v>0</v>
      </c>
      <c r="AR150" s="307"/>
      <c r="AS150" s="24">
        <f t="shared" si="223"/>
        <v>0</v>
      </c>
      <c r="AT150" s="24">
        <f t="shared" si="223"/>
        <v>0</v>
      </c>
      <c r="AU150" s="24">
        <f t="shared" si="223"/>
        <v>0</v>
      </c>
      <c r="AV150" s="24">
        <f t="shared" si="223"/>
        <v>0</v>
      </c>
      <c r="AW150" s="24">
        <f t="shared" si="223"/>
        <v>0</v>
      </c>
      <c r="AX150" s="24">
        <f t="shared" si="223"/>
        <v>0</v>
      </c>
      <c r="AY150" s="24">
        <f t="shared" si="223"/>
        <v>0</v>
      </c>
      <c r="AZ150" s="24">
        <f t="shared" si="223"/>
        <v>0</v>
      </c>
      <c r="BA150" s="24">
        <f t="shared" si="223"/>
        <v>0</v>
      </c>
      <c r="BB150" s="24">
        <f t="shared" si="223"/>
        <v>0</v>
      </c>
      <c r="BC150" s="24">
        <f t="shared" si="223"/>
        <v>0</v>
      </c>
      <c r="BD150" s="24"/>
      <c r="BE150" s="24"/>
      <c r="BF150" s="24">
        <v>944</v>
      </c>
      <c r="BG150" s="24">
        <f t="shared" si="223"/>
        <v>0</v>
      </c>
      <c r="BH150" s="24">
        <f t="shared" si="205"/>
        <v>257893.54</v>
      </c>
      <c r="BI150" s="447">
        <f t="shared" si="182"/>
        <v>389.57</v>
      </c>
      <c r="BJ150" s="24">
        <f>BJ145+BJ146+BJ147+BJ148+BJ149</f>
        <v>194535.44</v>
      </c>
      <c r="BK150" s="24">
        <f t="shared" ref="BK150:BP150" si="224">BK145+BK146+BK147+BK148+BK149</f>
        <v>58708.1</v>
      </c>
      <c r="BL150" s="24">
        <f t="shared" si="224"/>
        <v>0</v>
      </c>
      <c r="BM150" s="24">
        <f t="shared" si="224"/>
        <v>944</v>
      </c>
      <c r="BN150" s="24">
        <f t="shared" si="224"/>
        <v>0</v>
      </c>
      <c r="BO150" s="24">
        <f t="shared" si="224"/>
        <v>3706</v>
      </c>
      <c r="BP150" s="24">
        <f t="shared" si="224"/>
        <v>257893.54</v>
      </c>
    </row>
    <row r="151" spans="1:68" ht="18" customHeight="1">
      <c r="A151" s="857" t="s">
        <v>194</v>
      </c>
      <c r="B151" s="648" t="s">
        <v>197</v>
      </c>
      <c r="C151" s="648" t="s">
        <v>189</v>
      </c>
      <c r="D151" s="157" t="s">
        <v>190</v>
      </c>
      <c r="E151" s="313">
        <v>635</v>
      </c>
      <c r="F151" s="671" t="s">
        <v>216</v>
      </c>
      <c r="G151" s="8">
        <f>ROUND((V151+W151)/E151,3)</f>
        <v>354.72800000000001</v>
      </c>
      <c r="H151" s="8">
        <f t="shared" si="213"/>
        <v>0</v>
      </c>
      <c r="I151" s="8">
        <f t="shared" si="206"/>
        <v>354.72800000000001</v>
      </c>
      <c r="J151" s="451">
        <f>ROUND((AL151-AK151)/E151,3)</f>
        <v>2.597</v>
      </c>
      <c r="K151" s="8">
        <f t="shared" si="214"/>
        <v>0</v>
      </c>
      <c r="L151" s="8">
        <f t="shared" si="215"/>
        <v>0</v>
      </c>
      <c r="M151" s="8">
        <f t="shared" si="216"/>
        <v>0</v>
      </c>
      <c r="N151" s="11">
        <f t="shared" si="217"/>
        <v>0</v>
      </c>
      <c r="O151" s="11">
        <f t="shared" si="222"/>
        <v>2</v>
      </c>
      <c r="P151" s="453">
        <f t="shared" si="218"/>
        <v>1.113</v>
      </c>
      <c r="Q151" s="8">
        <f t="shared" si="207"/>
        <v>360.43799999999999</v>
      </c>
      <c r="R151" s="8">
        <f t="shared" si="219"/>
        <v>0</v>
      </c>
      <c r="S151" s="8">
        <f t="shared" si="220"/>
        <v>0</v>
      </c>
      <c r="T151" s="627">
        <f t="shared" si="208"/>
        <v>360.43799999999999</v>
      </c>
      <c r="U151" s="671" t="s">
        <v>216</v>
      </c>
      <c r="V151" s="15">
        <f>ROUND(E151*280.62,0)</f>
        <v>178194</v>
      </c>
      <c r="W151" s="15">
        <f>ROUND(V151*0.264085,0)</f>
        <v>47058</v>
      </c>
      <c r="X151" s="15"/>
      <c r="Y151" s="15"/>
      <c r="Z151" s="15"/>
      <c r="AA151" s="15"/>
      <c r="AB151" s="15"/>
      <c r="AC151" s="15"/>
      <c r="AD151" s="15">
        <v>1178</v>
      </c>
      <c r="AE151" s="15"/>
      <c r="AF151" s="15">
        <v>118</v>
      </c>
      <c r="AG151" s="15">
        <v>353</v>
      </c>
      <c r="AH151" s="15"/>
      <c r="AI151" s="15"/>
      <c r="AJ151" s="15"/>
      <c r="AK151" s="15">
        <v>707</v>
      </c>
      <c r="AL151" s="15">
        <f t="shared" si="221"/>
        <v>2356</v>
      </c>
      <c r="AM151" s="15"/>
      <c r="AN151" s="15"/>
      <c r="AO151" s="15"/>
      <c r="AP151" s="15"/>
      <c r="AQ151" s="15"/>
      <c r="AR151" s="705" t="s">
        <v>216</v>
      </c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>
        <f>ROUND(E151*2,0)</f>
        <v>1270</v>
      </c>
      <c r="BG151" s="15"/>
      <c r="BH151" s="15">
        <f t="shared" si="205"/>
        <v>228878</v>
      </c>
      <c r="BI151" s="447">
        <f t="shared" si="182"/>
        <v>360.44</v>
      </c>
      <c r="BJ151" s="76">
        <f t="shared" ref="BJ151:BK155" si="225">V151+X151</f>
        <v>178194</v>
      </c>
      <c r="BK151" s="76">
        <f t="shared" si="225"/>
        <v>47058</v>
      </c>
      <c r="BL151" s="76">
        <f>Z151+AB151+AC151+AA151</f>
        <v>0</v>
      </c>
      <c r="BM151" s="76">
        <f>BF151</f>
        <v>1270</v>
      </c>
      <c r="BN151" s="76">
        <f>BE151</f>
        <v>0</v>
      </c>
      <c r="BO151" s="76">
        <f>BG151+AL151+AM151+AN151+AO151+AP151+AQ151+AS151+AT151+AU151+AV151+AW151+AX151+AY151+AZ151+BA151+BB151+BC151+BD151</f>
        <v>2356</v>
      </c>
      <c r="BP151" s="92">
        <f>SUM(BJ151:BO151)</f>
        <v>228878</v>
      </c>
    </row>
    <row r="152" spans="1:68" ht="18" customHeight="1">
      <c r="A152" s="858"/>
      <c r="B152" s="849"/>
      <c r="C152" s="849"/>
      <c r="D152" s="157" t="s">
        <v>191</v>
      </c>
      <c r="E152" s="313">
        <v>168</v>
      </c>
      <c r="F152" s="829"/>
      <c r="G152" s="8">
        <f>ROUND((V152+W152)/E152,3)</f>
        <v>354.726</v>
      </c>
      <c r="H152" s="8">
        <f t="shared" si="213"/>
        <v>0</v>
      </c>
      <c r="I152" s="8">
        <f t="shared" si="206"/>
        <v>354.726</v>
      </c>
      <c r="J152" s="451">
        <f>ROUND((AL152-AK152)/E152,3)</f>
        <v>2.625</v>
      </c>
      <c r="K152" s="8">
        <f t="shared" si="214"/>
        <v>0</v>
      </c>
      <c r="L152" s="8">
        <f t="shared" si="215"/>
        <v>0</v>
      </c>
      <c r="M152" s="8">
        <f t="shared" si="216"/>
        <v>0</v>
      </c>
      <c r="N152" s="11">
        <f t="shared" si="217"/>
        <v>0</v>
      </c>
      <c r="O152" s="11">
        <f t="shared" si="222"/>
        <v>9</v>
      </c>
      <c r="P152" s="453">
        <f t="shared" si="218"/>
        <v>1.125</v>
      </c>
      <c r="Q152" s="8">
        <f t="shared" si="207"/>
        <v>367.476</v>
      </c>
      <c r="R152" s="8">
        <f t="shared" si="219"/>
        <v>0</v>
      </c>
      <c r="S152" s="8">
        <f t="shared" si="220"/>
        <v>0</v>
      </c>
      <c r="T152" s="627">
        <f t="shared" si="208"/>
        <v>367.476</v>
      </c>
      <c r="U152" s="829"/>
      <c r="V152" s="15">
        <f>ROUND(E152*280.62,0)</f>
        <v>47144</v>
      </c>
      <c r="W152" s="15">
        <f>ROUND(V152*0.264085,0)</f>
        <v>12450</v>
      </c>
      <c r="X152" s="15"/>
      <c r="Y152" s="15"/>
      <c r="Z152" s="15"/>
      <c r="AA152" s="15"/>
      <c r="AB152" s="15"/>
      <c r="AC152" s="15"/>
      <c r="AD152" s="15">
        <v>314</v>
      </c>
      <c r="AE152" s="15"/>
      <c r="AF152" s="15">
        <v>32</v>
      </c>
      <c r="AG152" s="15">
        <v>95</v>
      </c>
      <c r="AH152" s="15"/>
      <c r="AI152" s="15"/>
      <c r="AJ152" s="15"/>
      <c r="AK152" s="15">
        <v>189</v>
      </c>
      <c r="AL152" s="15">
        <f t="shared" si="221"/>
        <v>630</v>
      </c>
      <c r="AM152" s="15"/>
      <c r="AN152" s="15"/>
      <c r="AO152" s="15"/>
      <c r="AP152" s="15"/>
      <c r="AQ152" s="15"/>
      <c r="AR152" s="827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>
        <f>ROUND(E152*9,0)</f>
        <v>1512</v>
      </c>
      <c r="BG152" s="15"/>
      <c r="BH152" s="15">
        <f t="shared" si="205"/>
        <v>61736</v>
      </c>
      <c r="BI152" s="447">
        <f t="shared" si="182"/>
        <v>367.48</v>
      </c>
      <c r="BJ152" s="76">
        <f t="shared" si="225"/>
        <v>47144</v>
      </c>
      <c r="BK152" s="76">
        <f t="shared" si="225"/>
        <v>12450</v>
      </c>
      <c r="BL152" s="76">
        <f>Z152+AB152+AC152+AA152</f>
        <v>0</v>
      </c>
      <c r="BM152" s="76">
        <f>BF152</f>
        <v>1512</v>
      </c>
      <c r="BN152" s="76">
        <f>BE152</f>
        <v>0</v>
      </c>
      <c r="BO152" s="76">
        <f>BG152+AL152+AM152+AN152+AO152+AP152+AQ152+AS152+AT152+AU152+AV152+AW152+AX152+AY152+AZ152+BA152+BB152+BC152+BD152</f>
        <v>630</v>
      </c>
      <c r="BP152" s="92">
        <f>SUM(BJ152:BO152)</f>
        <v>61736</v>
      </c>
    </row>
    <row r="153" spans="1:68" ht="18" customHeight="1">
      <c r="A153" s="858"/>
      <c r="B153" s="849"/>
      <c r="C153" s="849"/>
      <c r="D153" s="157" t="s">
        <v>192</v>
      </c>
      <c r="E153" s="313">
        <v>375</v>
      </c>
      <c r="F153" s="829"/>
      <c r="G153" s="8">
        <f>ROUND((V153+W153)/E153,3)</f>
        <v>354.72800000000001</v>
      </c>
      <c r="H153" s="8">
        <f t="shared" si="213"/>
        <v>0</v>
      </c>
      <c r="I153" s="8">
        <f t="shared" si="206"/>
        <v>354.72800000000001</v>
      </c>
      <c r="J153" s="451">
        <f>ROUND((AL153-AK153)/E153,3)</f>
        <v>2.4079999999999999</v>
      </c>
      <c r="K153" s="8">
        <f t="shared" si="214"/>
        <v>0</v>
      </c>
      <c r="L153" s="8">
        <f t="shared" si="215"/>
        <v>0</v>
      </c>
      <c r="M153" s="8">
        <f t="shared" si="216"/>
        <v>0</v>
      </c>
      <c r="N153" s="11">
        <f t="shared" si="217"/>
        <v>0</v>
      </c>
      <c r="O153" s="11">
        <f t="shared" si="222"/>
        <v>20</v>
      </c>
      <c r="P153" s="453">
        <f t="shared" si="218"/>
        <v>1.032</v>
      </c>
      <c r="Q153" s="8">
        <f t="shared" si="207"/>
        <v>378.16800000000001</v>
      </c>
      <c r="R153" s="8">
        <f t="shared" si="219"/>
        <v>0</v>
      </c>
      <c r="S153" s="8">
        <f t="shared" si="220"/>
        <v>0</v>
      </c>
      <c r="T153" s="627">
        <f t="shared" si="208"/>
        <v>378.16800000000001</v>
      </c>
      <c r="U153" s="829"/>
      <c r="V153" s="15">
        <f>ROUND(E153*280.62,0)</f>
        <v>105233</v>
      </c>
      <c r="W153" s="15">
        <f>ROUND(V153*0.264085,0)</f>
        <v>27790</v>
      </c>
      <c r="X153" s="15"/>
      <c r="Y153" s="15"/>
      <c r="Z153" s="15"/>
      <c r="AA153" s="15"/>
      <c r="AB153" s="15"/>
      <c r="AC153" s="15"/>
      <c r="AD153" s="15">
        <v>644</v>
      </c>
      <c r="AE153" s="15"/>
      <c r="AF153" s="15">
        <v>65</v>
      </c>
      <c r="AG153" s="15">
        <v>194</v>
      </c>
      <c r="AH153" s="15"/>
      <c r="AI153" s="15"/>
      <c r="AJ153" s="15"/>
      <c r="AK153" s="15">
        <v>387</v>
      </c>
      <c r="AL153" s="15">
        <f t="shared" si="221"/>
        <v>1290</v>
      </c>
      <c r="AM153" s="15"/>
      <c r="AN153" s="15"/>
      <c r="AO153" s="15"/>
      <c r="AP153" s="15"/>
      <c r="AQ153" s="15"/>
      <c r="AR153" s="827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>
        <f>ROUND(E153*20,0)</f>
        <v>7500</v>
      </c>
      <c r="BG153" s="15"/>
      <c r="BH153" s="15">
        <f t="shared" si="205"/>
        <v>141813</v>
      </c>
      <c r="BI153" s="447">
        <f t="shared" si="182"/>
        <v>378.17</v>
      </c>
      <c r="BJ153" s="76">
        <f t="shared" si="225"/>
        <v>105233</v>
      </c>
      <c r="BK153" s="76">
        <f t="shared" si="225"/>
        <v>27790</v>
      </c>
      <c r="BL153" s="76">
        <f>Z153+AB153+AC153+AA153</f>
        <v>0</v>
      </c>
      <c r="BM153" s="76">
        <f>BF153</f>
        <v>7500</v>
      </c>
      <c r="BN153" s="76">
        <f>BE153</f>
        <v>0</v>
      </c>
      <c r="BO153" s="76">
        <f>BG153+AL153+AM153+AN153+AO153+AP153+AQ153+AS153+AT153+AU153+AV153+AW153+AX153+AY153+AZ153+BA153+BB153+BC153+BD153</f>
        <v>1290</v>
      </c>
      <c r="BP153" s="92">
        <f>SUM(BJ153:BO153)</f>
        <v>141813</v>
      </c>
    </row>
    <row r="154" spans="1:68" ht="18" customHeight="1">
      <c r="A154" s="858"/>
      <c r="B154" s="850"/>
      <c r="C154" s="850"/>
      <c r="D154" s="157" t="s">
        <v>193</v>
      </c>
      <c r="E154" s="313">
        <v>214</v>
      </c>
      <c r="F154" s="829"/>
      <c r="G154" s="8">
        <f>ROUND((V154+W154)/E154,3)</f>
        <v>354.72899999999998</v>
      </c>
      <c r="H154" s="8">
        <f t="shared" si="213"/>
        <v>0</v>
      </c>
      <c r="I154" s="8">
        <f t="shared" si="206"/>
        <v>354.72899999999998</v>
      </c>
      <c r="J154" s="451">
        <f>ROUND((AL154-AK154)/E154,3)</f>
        <v>3.14</v>
      </c>
      <c r="K154" s="8">
        <f t="shared" si="214"/>
        <v>0</v>
      </c>
      <c r="L154" s="8">
        <f t="shared" si="215"/>
        <v>0</v>
      </c>
      <c r="M154" s="8">
        <f t="shared" si="216"/>
        <v>0</v>
      </c>
      <c r="N154" s="11">
        <f t="shared" si="217"/>
        <v>0</v>
      </c>
      <c r="O154" s="11">
        <f>ROUND(BF154/E154,3)</f>
        <v>20</v>
      </c>
      <c r="P154" s="453">
        <f t="shared" si="218"/>
        <v>1.3460000000000001</v>
      </c>
      <c r="Q154" s="8">
        <f t="shared" si="207"/>
        <v>379.21499999999997</v>
      </c>
      <c r="R154" s="8">
        <f t="shared" si="219"/>
        <v>0</v>
      </c>
      <c r="S154" s="8">
        <f t="shared" si="220"/>
        <v>0</v>
      </c>
      <c r="T154" s="627">
        <f t="shared" si="208"/>
        <v>379.21499999999997</v>
      </c>
      <c r="U154" s="829"/>
      <c r="V154" s="15">
        <f>ROUND(E154*280.62,0)</f>
        <v>60053</v>
      </c>
      <c r="W154" s="15">
        <f>ROUND(V154*0.264085,0)</f>
        <v>15859</v>
      </c>
      <c r="X154" s="15"/>
      <c r="Y154" s="15"/>
      <c r="Z154" s="15"/>
      <c r="AA154" s="15"/>
      <c r="AB154" s="15"/>
      <c r="AC154" s="15"/>
      <c r="AD154" s="15">
        <v>480</v>
      </c>
      <c r="AE154" s="15"/>
      <c r="AF154" s="15">
        <v>48</v>
      </c>
      <c r="AG154" s="15">
        <v>144</v>
      </c>
      <c r="AH154" s="15"/>
      <c r="AI154" s="15"/>
      <c r="AJ154" s="15"/>
      <c r="AK154" s="15">
        <v>288</v>
      </c>
      <c r="AL154" s="15">
        <f t="shared" si="221"/>
        <v>960</v>
      </c>
      <c r="AM154" s="15"/>
      <c r="AN154" s="15"/>
      <c r="AO154" s="15"/>
      <c r="AP154" s="15"/>
      <c r="AQ154" s="15"/>
      <c r="AR154" s="827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>
        <f>ROUND(E154*20,0)</f>
        <v>4280</v>
      </c>
      <c r="BG154" s="15"/>
      <c r="BH154" s="15">
        <f t="shared" si="205"/>
        <v>81152</v>
      </c>
      <c r="BI154" s="447">
        <f t="shared" ref="BI154:BI176" si="226">ROUND(BH154/E154,2)</f>
        <v>379.21</v>
      </c>
      <c r="BJ154" s="76">
        <f t="shared" si="225"/>
        <v>60053</v>
      </c>
      <c r="BK154" s="76">
        <f t="shared" si="225"/>
        <v>15859</v>
      </c>
      <c r="BL154" s="76">
        <f>Z154+AB154+AC154+AA154</f>
        <v>0</v>
      </c>
      <c r="BM154" s="76">
        <f>BF154</f>
        <v>4280</v>
      </c>
      <c r="BN154" s="76">
        <f>BE154</f>
        <v>0</v>
      </c>
      <c r="BO154" s="76">
        <f>BG154+AL154+AM154+AN154+AO154+AP154+AQ154+AS154+AT154+AU154+AV154+AW154+AX154+AY154+AZ154+BA154+BB154+BC154+BD154</f>
        <v>960</v>
      </c>
      <c r="BP154" s="92">
        <f>SUM(BJ154:BO154)</f>
        <v>81152</v>
      </c>
    </row>
    <row r="155" spans="1:68" ht="60">
      <c r="A155" s="859"/>
      <c r="B155" s="9" t="s">
        <v>198</v>
      </c>
      <c r="C155" s="9" t="s">
        <v>196</v>
      </c>
      <c r="D155" s="157"/>
      <c r="E155" s="313">
        <v>4123</v>
      </c>
      <c r="F155" s="830"/>
      <c r="G155" s="8">
        <f>ROUND((V155+W155)/E155,3)</f>
        <v>179.62299999999999</v>
      </c>
      <c r="H155" s="8">
        <f t="shared" si="213"/>
        <v>0</v>
      </c>
      <c r="I155" s="8">
        <f t="shared" si="206"/>
        <v>179.62299999999999</v>
      </c>
      <c r="J155" s="451">
        <f>ROUND((AL155-AK155)/E155,3)</f>
        <v>1.1479999999999999</v>
      </c>
      <c r="K155" s="8">
        <f t="shared" si="214"/>
        <v>0</v>
      </c>
      <c r="L155" s="8">
        <f t="shared" si="215"/>
        <v>0</v>
      </c>
      <c r="M155" s="8">
        <f t="shared" si="216"/>
        <v>0</v>
      </c>
      <c r="N155" s="11">
        <f t="shared" si="217"/>
        <v>0</v>
      </c>
      <c r="O155" s="11">
        <f t="shared" si="222"/>
        <v>3.48</v>
      </c>
      <c r="P155" s="453">
        <f t="shared" si="218"/>
        <v>0.503</v>
      </c>
      <c r="Q155" s="8">
        <f t="shared" si="207"/>
        <v>184.75399999999999</v>
      </c>
      <c r="R155" s="8">
        <f t="shared" si="219"/>
        <v>0</v>
      </c>
      <c r="S155" s="8">
        <f t="shared" si="220"/>
        <v>0</v>
      </c>
      <c r="T155" s="627">
        <f t="shared" si="208"/>
        <v>184.75399999999999</v>
      </c>
      <c r="U155" s="830"/>
      <c r="V155" s="15">
        <f>976489.94-V151-V152-V153-V154</f>
        <v>585865.93999999994</v>
      </c>
      <c r="W155" s="15">
        <f>257876.65-W151-W152-W153-W154</f>
        <v>154719.65</v>
      </c>
      <c r="X155" s="15"/>
      <c r="Y155" s="15"/>
      <c r="Z155" s="15"/>
      <c r="AA155" s="15"/>
      <c r="AB155" s="15"/>
      <c r="AC155" s="15"/>
      <c r="AD155" s="15">
        <v>3350</v>
      </c>
      <c r="AE155" s="15"/>
      <c r="AF155" s="15">
        <v>346</v>
      </c>
      <c r="AG155" s="15">
        <v>1038</v>
      </c>
      <c r="AH155" s="15"/>
      <c r="AI155" s="15"/>
      <c r="AJ155" s="15"/>
      <c r="AK155" s="15">
        <v>2075</v>
      </c>
      <c r="AL155" s="15">
        <f t="shared" si="221"/>
        <v>6809</v>
      </c>
      <c r="AM155" s="15"/>
      <c r="AN155" s="15"/>
      <c r="AO155" s="15"/>
      <c r="AP155" s="15"/>
      <c r="AQ155" s="15"/>
      <c r="AR155" s="828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>
        <f>BF156-BF151-BF152-BF153-BF154</f>
        <v>14364</v>
      </c>
      <c r="BG155" s="15"/>
      <c r="BH155" s="15">
        <f t="shared" si="205"/>
        <v>761758.59</v>
      </c>
      <c r="BI155" s="447">
        <f t="shared" si="226"/>
        <v>184.76</v>
      </c>
      <c r="BJ155" s="76">
        <f t="shared" si="225"/>
        <v>585865.93999999994</v>
      </c>
      <c r="BK155" s="76">
        <f t="shared" si="225"/>
        <v>154719.65</v>
      </c>
      <c r="BL155" s="76">
        <f>Z155+AB155+AC155+AA155</f>
        <v>0</v>
      </c>
      <c r="BM155" s="76">
        <f>BF155</f>
        <v>14364</v>
      </c>
      <c r="BN155" s="76">
        <f>BE155</f>
        <v>0</v>
      </c>
      <c r="BO155" s="76">
        <f>BG155+AL155+AM155+AN155+AO155+AP155+AQ155+AS155+AT155+AU155+AV155+AW155+AX155+AY155+AZ155+BA155+BB155+BC155+BD155</f>
        <v>6809</v>
      </c>
      <c r="BP155" s="92">
        <f>SUM(BJ155:BO155)</f>
        <v>761758.59</v>
      </c>
    </row>
    <row r="156" spans="1:68" ht="27.75" customHeight="1">
      <c r="A156" s="109" t="s">
        <v>251</v>
      </c>
      <c r="B156" s="29"/>
      <c r="C156" s="29" t="s">
        <v>252</v>
      </c>
      <c r="D156" s="158"/>
      <c r="E156" s="32">
        <v>6907</v>
      </c>
      <c r="F156" s="159"/>
      <c r="G156" s="30">
        <f>ROUND((V156+W156)/E156,2)</f>
        <v>178.71</v>
      </c>
      <c r="H156" s="30">
        <f t="shared" si="213"/>
        <v>0</v>
      </c>
      <c r="I156" s="30">
        <f t="shared" si="206"/>
        <v>178.71</v>
      </c>
      <c r="J156" s="30">
        <f>ROUND((AL156-AK156)/E156,2)</f>
        <v>1.22</v>
      </c>
      <c r="K156" s="30">
        <f t="shared" si="214"/>
        <v>0</v>
      </c>
      <c r="L156" s="30">
        <f t="shared" si="215"/>
        <v>0</v>
      </c>
      <c r="M156" s="30">
        <f t="shared" si="216"/>
        <v>0</v>
      </c>
      <c r="N156" s="33">
        <f t="shared" si="217"/>
        <v>0</v>
      </c>
      <c r="O156" s="33">
        <f t="shared" si="222"/>
        <v>4.1900000000000004</v>
      </c>
      <c r="P156" s="33">
        <f t="shared" si="218"/>
        <v>0.52800000000000002</v>
      </c>
      <c r="Q156" s="30">
        <f t="shared" si="207"/>
        <v>184.648</v>
      </c>
      <c r="R156" s="30">
        <f t="shared" si="219"/>
        <v>0</v>
      </c>
      <c r="S156" s="30">
        <f t="shared" si="220"/>
        <v>0</v>
      </c>
      <c r="T156" s="627">
        <f t="shared" si="208"/>
        <v>184.648</v>
      </c>
      <c r="U156" s="159"/>
      <c r="V156" s="24">
        <f>SUM(V151:V155)</f>
        <v>976489.94</v>
      </c>
      <c r="W156" s="24">
        <f>SUM(W151:W155)</f>
        <v>257876.65</v>
      </c>
      <c r="X156" s="24">
        <f>SUM(X151:X155)</f>
        <v>0</v>
      </c>
      <c r="Y156" s="24">
        <f t="shared" ref="Y156:BG156" si="227">Y151+Y152+Y153+Y154+Y155</f>
        <v>0</v>
      </c>
      <c r="Z156" s="24">
        <f t="shared" si="227"/>
        <v>0</v>
      </c>
      <c r="AA156" s="24">
        <f t="shared" si="227"/>
        <v>0</v>
      </c>
      <c r="AB156" s="24">
        <f t="shared" si="227"/>
        <v>0</v>
      </c>
      <c r="AC156" s="24">
        <f t="shared" si="227"/>
        <v>0</v>
      </c>
      <c r="AD156" s="24">
        <f t="shared" si="227"/>
        <v>5966</v>
      </c>
      <c r="AE156" s="24">
        <f t="shared" si="227"/>
        <v>0</v>
      </c>
      <c r="AF156" s="24">
        <f t="shared" si="227"/>
        <v>609</v>
      </c>
      <c r="AG156" s="24">
        <f t="shared" si="227"/>
        <v>1824</v>
      </c>
      <c r="AH156" s="24">
        <f t="shared" si="227"/>
        <v>0</v>
      </c>
      <c r="AI156" s="24">
        <f t="shared" si="227"/>
        <v>0</v>
      </c>
      <c r="AJ156" s="24">
        <f t="shared" si="227"/>
        <v>0</v>
      </c>
      <c r="AK156" s="24">
        <f t="shared" si="227"/>
        <v>3646</v>
      </c>
      <c r="AL156" s="24">
        <f t="shared" si="227"/>
        <v>12045</v>
      </c>
      <c r="AM156" s="24">
        <f t="shared" si="227"/>
        <v>0</v>
      </c>
      <c r="AN156" s="24">
        <f t="shared" si="227"/>
        <v>0</v>
      </c>
      <c r="AO156" s="24">
        <f t="shared" si="227"/>
        <v>0</v>
      </c>
      <c r="AP156" s="24">
        <f t="shared" si="227"/>
        <v>0</v>
      </c>
      <c r="AQ156" s="24">
        <f t="shared" si="227"/>
        <v>0</v>
      </c>
      <c r="AR156" s="307"/>
      <c r="AS156" s="24">
        <f t="shared" si="227"/>
        <v>0</v>
      </c>
      <c r="AT156" s="24">
        <f t="shared" si="227"/>
        <v>0</v>
      </c>
      <c r="AU156" s="24">
        <f t="shared" si="227"/>
        <v>0</v>
      </c>
      <c r="AV156" s="24">
        <f t="shared" si="227"/>
        <v>0</v>
      </c>
      <c r="AW156" s="24">
        <f t="shared" si="227"/>
        <v>0</v>
      </c>
      <c r="AX156" s="24">
        <f t="shared" si="227"/>
        <v>0</v>
      </c>
      <c r="AY156" s="24">
        <f t="shared" si="227"/>
        <v>0</v>
      </c>
      <c r="AZ156" s="24">
        <f>AZ151+AZ152+AZ153+AZ154+AZ155</f>
        <v>0</v>
      </c>
      <c r="BA156" s="24">
        <f t="shared" si="227"/>
        <v>0</v>
      </c>
      <c r="BB156" s="24">
        <f t="shared" si="227"/>
        <v>0</v>
      </c>
      <c r="BC156" s="24">
        <f t="shared" si="227"/>
        <v>0</v>
      </c>
      <c r="BD156" s="24">
        <f t="shared" si="227"/>
        <v>0</v>
      </c>
      <c r="BE156" s="24">
        <f t="shared" si="227"/>
        <v>0</v>
      </c>
      <c r="BF156" s="24">
        <v>28926</v>
      </c>
      <c r="BG156" s="24">
        <f t="shared" si="227"/>
        <v>0</v>
      </c>
      <c r="BH156" s="24">
        <f t="shared" si="205"/>
        <v>1275337.5899999999</v>
      </c>
      <c r="BI156" s="447">
        <f t="shared" si="226"/>
        <v>184.64</v>
      </c>
      <c r="BJ156" s="24">
        <f t="shared" ref="BJ156:BP156" si="228">BJ151+BJ152+BJ153+BJ154+BJ155</f>
        <v>976489.94</v>
      </c>
      <c r="BK156" s="24">
        <f t="shared" si="228"/>
        <v>257876.65</v>
      </c>
      <c r="BL156" s="24">
        <f t="shared" si="228"/>
        <v>0</v>
      </c>
      <c r="BM156" s="24">
        <f t="shared" si="228"/>
        <v>28926</v>
      </c>
      <c r="BN156" s="24">
        <f t="shared" si="228"/>
        <v>0</v>
      </c>
      <c r="BO156" s="24">
        <f t="shared" si="228"/>
        <v>12045</v>
      </c>
      <c r="BP156" s="24">
        <f t="shared" si="228"/>
        <v>1275337.5899999999</v>
      </c>
    </row>
    <row r="157" spans="1:68" ht="18" customHeight="1">
      <c r="A157" s="857" t="s">
        <v>194</v>
      </c>
      <c r="B157" s="648" t="s">
        <v>197</v>
      </c>
      <c r="C157" s="648" t="s">
        <v>189</v>
      </c>
      <c r="D157" s="157" t="s">
        <v>190</v>
      </c>
      <c r="E157" s="313">
        <v>514</v>
      </c>
      <c r="F157" s="671" t="s">
        <v>85</v>
      </c>
      <c r="G157" s="145">
        <f t="shared" ref="G157:G168" si="229">ROUND((V157+W157)/E157,3)</f>
        <v>337.77800000000002</v>
      </c>
      <c r="H157" s="145">
        <f t="shared" si="213"/>
        <v>31.07</v>
      </c>
      <c r="I157" s="145">
        <f t="shared" si="206"/>
        <v>368.84800000000001</v>
      </c>
      <c r="J157" s="451">
        <f>ROUND((AL157-AK157)/E157,3)</f>
        <v>2.4089999999999998</v>
      </c>
      <c r="K157" s="145">
        <f t="shared" si="214"/>
        <v>0</v>
      </c>
      <c r="L157" s="145">
        <f t="shared" si="215"/>
        <v>0</v>
      </c>
      <c r="M157" s="145">
        <f t="shared" si="216"/>
        <v>0</v>
      </c>
      <c r="N157" s="146">
        <f t="shared" si="217"/>
        <v>0</v>
      </c>
      <c r="O157" s="146">
        <f t="shared" si="222"/>
        <v>2</v>
      </c>
      <c r="P157" s="453">
        <f t="shared" si="218"/>
        <v>1.0309999999999999</v>
      </c>
      <c r="Q157" s="145">
        <f t="shared" si="207"/>
        <v>374.28800000000001</v>
      </c>
      <c r="R157" s="8">
        <f t="shared" si="219"/>
        <v>0</v>
      </c>
      <c r="S157" s="145">
        <f t="shared" si="220"/>
        <v>0</v>
      </c>
      <c r="T157" s="627">
        <f t="shared" ref="T157:T162" si="230">Q157+R157+S157</f>
        <v>374.28800000000001</v>
      </c>
      <c r="U157" s="851" t="s">
        <v>85</v>
      </c>
      <c r="V157" s="15">
        <f>ROUND(E157*259.43,0)</f>
        <v>133347</v>
      </c>
      <c r="W157" s="15">
        <f>ROUND(V157*0.302,0)</f>
        <v>40271</v>
      </c>
      <c r="X157" s="15">
        <f>13675-1409</f>
        <v>12266</v>
      </c>
      <c r="Y157" s="15">
        <f>ROUND(X157*0.302,0)</f>
        <v>3704</v>
      </c>
      <c r="Z157" s="15"/>
      <c r="AA157" s="295"/>
      <c r="AB157" s="295"/>
      <c r="AC157" s="295"/>
      <c r="AD157" s="15">
        <v>885</v>
      </c>
      <c r="AE157" s="15"/>
      <c r="AF157" s="15">
        <v>88</v>
      </c>
      <c r="AG157" s="15">
        <v>265</v>
      </c>
      <c r="AH157" s="15"/>
      <c r="AI157" s="15"/>
      <c r="AJ157" s="15"/>
      <c r="AK157" s="15">
        <v>530</v>
      </c>
      <c r="AL157" s="15">
        <f t="shared" si="221"/>
        <v>1768</v>
      </c>
      <c r="AM157" s="295"/>
      <c r="AN157" s="295"/>
      <c r="AO157" s="295"/>
      <c r="AP157" s="295"/>
      <c r="AQ157" s="295"/>
      <c r="AR157" s="854" t="s">
        <v>85</v>
      </c>
      <c r="AS157" s="295"/>
      <c r="AT157" s="295"/>
      <c r="AU157" s="295"/>
      <c r="AV157" s="295"/>
      <c r="AW157" s="295"/>
      <c r="AX157" s="295"/>
      <c r="AY157" s="295"/>
      <c r="AZ157" s="295"/>
      <c r="BA157" s="295"/>
      <c r="BB157" s="295"/>
      <c r="BC157" s="295"/>
      <c r="BD157" s="295"/>
      <c r="BE157" s="295"/>
      <c r="BF157" s="15">
        <f>ROUND(E157*2,0)</f>
        <v>1028</v>
      </c>
      <c r="BG157" s="15"/>
      <c r="BH157" s="15">
        <f t="shared" si="205"/>
        <v>192384</v>
      </c>
      <c r="BI157" s="447">
        <f t="shared" si="226"/>
        <v>374.29</v>
      </c>
      <c r="BJ157" s="76">
        <f>V157+X157</f>
        <v>145613</v>
      </c>
      <c r="BK157" s="76">
        <f>W157+Y157</f>
        <v>43975</v>
      </c>
      <c r="BL157" s="76">
        <f>Z157+AB157+AC157+AA157</f>
        <v>0</v>
      </c>
      <c r="BM157" s="76">
        <f>BF157</f>
        <v>1028</v>
      </c>
      <c r="BN157" s="76">
        <f>BE157</f>
        <v>0</v>
      </c>
      <c r="BO157" s="76">
        <f>BG157+AL157+AM157+AN157+AO157+AP157+AQ157+AS157+AT157+AU157+AV157+AW157+AX157+AY157+AZ157+BA157+BB157+BC157+BD157</f>
        <v>1768</v>
      </c>
      <c r="BP157" s="92">
        <f>SUM(BJ157:BO157)</f>
        <v>192384</v>
      </c>
    </row>
    <row r="158" spans="1:68" ht="18" customHeight="1">
      <c r="A158" s="858"/>
      <c r="B158" s="849"/>
      <c r="C158" s="849"/>
      <c r="D158" s="157" t="s">
        <v>191</v>
      </c>
      <c r="E158" s="313">
        <v>366</v>
      </c>
      <c r="F158" s="829"/>
      <c r="G158" s="145">
        <f t="shared" si="229"/>
        <v>337.77600000000001</v>
      </c>
      <c r="H158" s="145">
        <f t="shared" si="213"/>
        <v>39.590000000000003</v>
      </c>
      <c r="I158" s="145">
        <f t="shared" si="206"/>
        <v>377.36599999999999</v>
      </c>
      <c r="J158" s="451">
        <f>ROUND((AL158-AK158)/E158,3)</f>
        <v>2.407</v>
      </c>
      <c r="K158" s="145">
        <f t="shared" si="214"/>
        <v>0</v>
      </c>
      <c r="L158" s="145">
        <f t="shared" si="215"/>
        <v>0</v>
      </c>
      <c r="M158" s="145">
        <f t="shared" si="216"/>
        <v>0</v>
      </c>
      <c r="N158" s="146">
        <f t="shared" si="217"/>
        <v>0</v>
      </c>
      <c r="O158" s="146">
        <f t="shared" si="222"/>
        <v>9</v>
      </c>
      <c r="P158" s="453">
        <f t="shared" si="218"/>
        <v>1.0329999999999999</v>
      </c>
      <c r="Q158" s="145">
        <f t="shared" si="207"/>
        <v>389.80599999999998</v>
      </c>
      <c r="R158" s="8">
        <f t="shared" si="219"/>
        <v>0</v>
      </c>
      <c r="S158" s="145">
        <f t="shared" si="220"/>
        <v>0</v>
      </c>
      <c r="T158" s="627">
        <f t="shared" si="230"/>
        <v>389.80599999999998</v>
      </c>
      <c r="U158" s="852"/>
      <c r="V158" s="15">
        <f>ROUND(E158*259.43,0)</f>
        <v>94951</v>
      </c>
      <c r="W158" s="15">
        <f>ROUND(V158*0.302,0)</f>
        <v>28675</v>
      </c>
      <c r="X158" s="15">
        <v>11130</v>
      </c>
      <c r="Y158" s="15">
        <f>ROUND(X158*0.302,0)</f>
        <v>3361</v>
      </c>
      <c r="Z158" s="15"/>
      <c r="AA158" s="295"/>
      <c r="AB158" s="295"/>
      <c r="AC158" s="295"/>
      <c r="AD158" s="15">
        <v>629</v>
      </c>
      <c r="AE158" s="15"/>
      <c r="AF158" s="15">
        <v>63</v>
      </c>
      <c r="AG158" s="15">
        <v>189</v>
      </c>
      <c r="AH158" s="15"/>
      <c r="AI158" s="15"/>
      <c r="AJ158" s="15"/>
      <c r="AK158" s="15">
        <v>378</v>
      </c>
      <c r="AL158" s="15">
        <f t="shared" si="221"/>
        <v>1259</v>
      </c>
      <c r="AM158" s="295"/>
      <c r="AN158" s="295"/>
      <c r="AO158" s="295"/>
      <c r="AP158" s="295"/>
      <c r="AQ158" s="295"/>
      <c r="AR158" s="855"/>
      <c r="AS158" s="295"/>
      <c r="AT158" s="295"/>
      <c r="AU158" s="295"/>
      <c r="AV158" s="295"/>
      <c r="AW158" s="295"/>
      <c r="AX158" s="295"/>
      <c r="AY158" s="295"/>
      <c r="AZ158" s="295"/>
      <c r="BA158" s="295"/>
      <c r="BB158" s="295"/>
      <c r="BC158" s="295"/>
      <c r="BD158" s="295"/>
      <c r="BE158" s="295"/>
      <c r="BF158" s="15">
        <f>ROUND(E158*9,0)</f>
        <v>3294</v>
      </c>
      <c r="BG158" s="15"/>
      <c r="BH158" s="15">
        <f t="shared" si="205"/>
        <v>142670</v>
      </c>
      <c r="BI158" s="447">
        <f t="shared" si="226"/>
        <v>389.81</v>
      </c>
      <c r="BJ158" s="76">
        <f>V158+X158</f>
        <v>106081</v>
      </c>
      <c r="BK158" s="76">
        <f>W158+Y158</f>
        <v>32036</v>
      </c>
      <c r="BL158" s="76">
        <f>Z158+AB158+AC158+AA158</f>
        <v>0</v>
      </c>
      <c r="BM158" s="76">
        <f>BF158</f>
        <v>3294</v>
      </c>
      <c r="BN158" s="76">
        <f>BE158</f>
        <v>0</v>
      </c>
      <c r="BO158" s="76">
        <f>BG158+AL158+AM158+AN158+AO158+AP158+AQ158+AS158+AT158+AU158+AV158+AW158+AX158+AY158+AZ158+BA158+BB158+BC158+BD158</f>
        <v>1259</v>
      </c>
      <c r="BP158" s="92">
        <f>SUM(BJ158:BO158)</f>
        <v>142670</v>
      </c>
    </row>
    <row r="159" spans="1:68" ht="18" customHeight="1">
      <c r="A159" s="858"/>
      <c r="B159" s="849"/>
      <c r="C159" s="849"/>
      <c r="D159" s="157" t="s">
        <v>192</v>
      </c>
      <c r="E159" s="313">
        <v>297</v>
      </c>
      <c r="F159" s="829"/>
      <c r="G159" s="145">
        <f t="shared" si="229"/>
        <v>337.77800000000002</v>
      </c>
      <c r="H159" s="145">
        <f t="shared" si="213"/>
        <v>39.409999999999997</v>
      </c>
      <c r="I159" s="145">
        <f t="shared" si="206"/>
        <v>377.18799999999999</v>
      </c>
      <c r="J159" s="451">
        <f>ROUND((AL159-AK159)/E159,3)</f>
        <v>2.407</v>
      </c>
      <c r="K159" s="145">
        <f t="shared" si="214"/>
        <v>0</v>
      </c>
      <c r="L159" s="145">
        <f t="shared" si="215"/>
        <v>0</v>
      </c>
      <c r="M159" s="145">
        <f t="shared" si="216"/>
        <v>0</v>
      </c>
      <c r="N159" s="146">
        <f t="shared" si="217"/>
        <v>0</v>
      </c>
      <c r="O159" s="146">
        <f t="shared" si="222"/>
        <v>20</v>
      </c>
      <c r="P159" s="453">
        <f t="shared" si="218"/>
        <v>1.034</v>
      </c>
      <c r="Q159" s="145">
        <f t="shared" si="207"/>
        <v>400.62899999999996</v>
      </c>
      <c r="R159" s="8">
        <f t="shared" si="219"/>
        <v>0</v>
      </c>
      <c r="S159" s="145">
        <f t="shared" si="220"/>
        <v>0</v>
      </c>
      <c r="T159" s="627">
        <f t="shared" si="230"/>
        <v>400.62899999999996</v>
      </c>
      <c r="U159" s="852"/>
      <c r="V159" s="15">
        <f>ROUND(E159*259.43,0)</f>
        <v>77051</v>
      </c>
      <c r="W159" s="15">
        <f>ROUND(V159*0.302,0)</f>
        <v>23269</v>
      </c>
      <c r="X159" s="15">
        <v>8990</v>
      </c>
      <c r="Y159" s="15">
        <f>ROUND(X159*0.302,0)</f>
        <v>2715</v>
      </c>
      <c r="Z159" s="15"/>
      <c r="AA159" s="295"/>
      <c r="AB159" s="295"/>
      <c r="AC159" s="295"/>
      <c r="AD159" s="15">
        <v>511</v>
      </c>
      <c r="AE159" s="15"/>
      <c r="AF159" s="15">
        <v>51</v>
      </c>
      <c r="AG159" s="15">
        <v>153</v>
      </c>
      <c r="AH159" s="15"/>
      <c r="AI159" s="15"/>
      <c r="AJ159" s="15"/>
      <c r="AK159" s="15">
        <v>307</v>
      </c>
      <c r="AL159" s="15">
        <f t="shared" si="221"/>
        <v>1022</v>
      </c>
      <c r="AM159" s="295"/>
      <c r="AN159" s="295"/>
      <c r="AO159" s="295"/>
      <c r="AP159" s="295"/>
      <c r="AQ159" s="295"/>
      <c r="AR159" s="855"/>
      <c r="AS159" s="295"/>
      <c r="AT159" s="295"/>
      <c r="AU159" s="295"/>
      <c r="AV159" s="295"/>
      <c r="AW159" s="295"/>
      <c r="AX159" s="295"/>
      <c r="AY159" s="295"/>
      <c r="AZ159" s="295"/>
      <c r="BA159" s="295"/>
      <c r="BB159" s="295"/>
      <c r="BC159" s="295"/>
      <c r="BD159" s="295"/>
      <c r="BE159" s="295"/>
      <c r="BF159" s="15">
        <f>ROUND(E159*20,0)</f>
        <v>5940</v>
      </c>
      <c r="BG159" s="15"/>
      <c r="BH159" s="15">
        <f t="shared" si="205"/>
        <v>118987</v>
      </c>
      <c r="BI159" s="447">
        <f t="shared" si="226"/>
        <v>400.63</v>
      </c>
      <c r="BJ159" s="76">
        <f t="shared" ref="BJ159:BK161" si="231">V159+X159</f>
        <v>86041</v>
      </c>
      <c r="BK159" s="76">
        <f t="shared" si="231"/>
        <v>25984</v>
      </c>
      <c r="BL159" s="76">
        <f>Z159+AB159+AC159+AA159</f>
        <v>0</v>
      </c>
      <c r="BM159" s="76">
        <f>BF159</f>
        <v>5940</v>
      </c>
      <c r="BN159" s="76">
        <f>BE159</f>
        <v>0</v>
      </c>
      <c r="BO159" s="76">
        <f>BG159+AL159+AM159+AN159+AO159+AP159+AQ159+AS159+AT159+AU159+AV159+AW159+AX159+AY159+AZ159+BA159+BB159+BC159+BD159</f>
        <v>1022</v>
      </c>
      <c r="BP159" s="92">
        <f>SUM(BJ159:BO159)</f>
        <v>118987</v>
      </c>
    </row>
    <row r="160" spans="1:68" ht="18" customHeight="1">
      <c r="A160" s="858"/>
      <c r="B160" s="850"/>
      <c r="C160" s="850"/>
      <c r="D160" s="157" t="s">
        <v>193</v>
      </c>
      <c r="E160" s="313">
        <v>279</v>
      </c>
      <c r="F160" s="829"/>
      <c r="G160" s="145">
        <f t="shared" si="229"/>
        <v>337.77800000000002</v>
      </c>
      <c r="H160" s="145">
        <f>ROUND((X160+Y160)/E160,3)</f>
        <v>27.029</v>
      </c>
      <c r="I160" s="145">
        <f t="shared" si="206"/>
        <v>364.80700000000002</v>
      </c>
      <c r="J160" s="451">
        <f>ROUND((AL160-AK160)/E160,3)</f>
        <v>2.4089999999999998</v>
      </c>
      <c r="K160" s="145">
        <f t="shared" si="214"/>
        <v>0</v>
      </c>
      <c r="L160" s="145">
        <f t="shared" si="215"/>
        <v>0</v>
      </c>
      <c r="M160" s="145">
        <f t="shared" si="216"/>
        <v>0</v>
      </c>
      <c r="N160" s="146">
        <f t="shared" si="217"/>
        <v>0</v>
      </c>
      <c r="O160" s="146">
        <f t="shared" si="222"/>
        <v>20</v>
      </c>
      <c r="P160" s="453">
        <f t="shared" si="218"/>
        <v>1.032</v>
      </c>
      <c r="Q160" s="145">
        <f t="shared" si="207"/>
        <v>388.24799999999999</v>
      </c>
      <c r="R160" s="8">
        <f t="shared" si="219"/>
        <v>0</v>
      </c>
      <c r="S160" s="145">
        <f t="shared" si="220"/>
        <v>0</v>
      </c>
      <c r="T160" s="627">
        <f t="shared" si="230"/>
        <v>388.24799999999999</v>
      </c>
      <c r="U160" s="852"/>
      <c r="V160" s="15">
        <f>ROUND(E160*259.43,0)</f>
        <v>72381</v>
      </c>
      <c r="W160" s="15">
        <f>ROUND(V160*0.302,0)</f>
        <v>21859</v>
      </c>
      <c r="X160" s="15">
        <f>6457-665</f>
        <v>5792</v>
      </c>
      <c r="Y160" s="15">
        <f>ROUND(X160*0.302,0)</f>
        <v>1749</v>
      </c>
      <c r="Z160" s="15"/>
      <c r="AA160" s="295"/>
      <c r="AB160" s="295"/>
      <c r="AC160" s="295"/>
      <c r="AD160" s="15">
        <v>480</v>
      </c>
      <c r="AE160" s="15"/>
      <c r="AF160" s="15">
        <v>48</v>
      </c>
      <c r="AG160" s="15">
        <v>144</v>
      </c>
      <c r="AH160" s="15"/>
      <c r="AI160" s="15"/>
      <c r="AJ160" s="15"/>
      <c r="AK160" s="15">
        <v>288</v>
      </c>
      <c r="AL160" s="15">
        <f t="shared" si="221"/>
        <v>960</v>
      </c>
      <c r="AM160" s="295"/>
      <c r="AN160" s="295"/>
      <c r="AO160" s="295"/>
      <c r="AP160" s="295"/>
      <c r="AQ160" s="295"/>
      <c r="AR160" s="855"/>
      <c r="AS160" s="295"/>
      <c r="AT160" s="295"/>
      <c r="AU160" s="295"/>
      <c r="AV160" s="295"/>
      <c r="AW160" s="295"/>
      <c r="AX160" s="295"/>
      <c r="AY160" s="295"/>
      <c r="AZ160" s="295"/>
      <c r="BA160" s="295"/>
      <c r="BB160" s="295"/>
      <c r="BC160" s="295"/>
      <c r="BD160" s="295"/>
      <c r="BE160" s="295"/>
      <c r="BF160" s="15">
        <f>ROUND(E160*20,0)</f>
        <v>5580</v>
      </c>
      <c r="BG160" s="15"/>
      <c r="BH160" s="15">
        <f t="shared" si="205"/>
        <v>108321</v>
      </c>
      <c r="BI160" s="447">
        <f t="shared" si="226"/>
        <v>388.25</v>
      </c>
      <c r="BJ160" s="76">
        <f t="shared" si="231"/>
        <v>78173</v>
      </c>
      <c r="BK160" s="76">
        <f t="shared" si="231"/>
        <v>23608</v>
      </c>
      <c r="BL160" s="76">
        <f>Z160+AB160+AC160+AA160</f>
        <v>0</v>
      </c>
      <c r="BM160" s="76">
        <f>BF160</f>
        <v>5580</v>
      </c>
      <c r="BN160" s="76">
        <f>BE160</f>
        <v>0</v>
      </c>
      <c r="BO160" s="76">
        <f>BG160+AL160+AM160+AN160+AO160+AP160+AQ160+AS160+AT160+AU160+AV160+AW160+AX160+AY160+AZ160+BA160+BB160+BC160+BD160</f>
        <v>960</v>
      </c>
      <c r="BP160" s="92">
        <f>SUM(BJ160:BO160)</f>
        <v>108321</v>
      </c>
    </row>
    <row r="161" spans="1:68" ht="60">
      <c r="A161" s="859"/>
      <c r="B161" s="9" t="s">
        <v>198</v>
      </c>
      <c r="C161" s="9" t="s">
        <v>196</v>
      </c>
      <c r="D161" s="157"/>
      <c r="E161" s="313">
        <v>5108</v>
      </c>
      <c r="F161" s="830"/>
      <c r="G161" s="145">
        <f>ROUND((V161+W161)/E161,3)</f>
        <v>162.804</v>
      </c>
      <c r="H161" s="145">
        <f>ROUND((X161+Y161)/E161,3)</f>
        <v>11.483000000000001</v>
      </c>
      <c r="I161" s="145">
        <f>G161+H161</f>
        <v>174.28700000000001</v>
      </c>
      <c r="J161" s="451">
        <f>ROUND((AL161-AK161)/E161,3)</f>
        <v>0.88700000000000001</v>
      </c>
      <c r="K161" s="145">
        <f>ROUND((AM161+AN161+AO161+AP161+AQ161)/E161,2)</f>
        <v>0</v>
      </c>
      <c r="L161" s="145">
        <f>ROUND((AS161+AT161+AU161+AV161+AW161)/E161,2)</f>
        <v>0</v>
      </c>
      <c r="M161" s="145">
        <f>ROUND((AZ161+BA161)/E161,2)</f>
        <v>0</v>
      </c>
      <c r="N161" s="146">
        <f>ROUND(BE161/E161,2)</f>
        <v>0</v>
      </c>
      <c r="O161" s="146">
        <f>ROUND(BF161/E161,2)</f>
        <v>2.4300000000000002</v>
      </c>
      <c r="P161" s="453">
        <f>ROUND(AK161/E161,3)</f>
        <v>0.38900000000000001</v>
      </c>
      <c r="Q161" s="145">
        <f>P161+O161+N161+M161+L161+K161+J161+I161</f>
        <v>177.99299999999999</v>
      </c>
      <c r="R161" s="8">
        <f>ROUND((Z161+AB161+AC161+AA161)/E161,2)</f>
        <v>0</v>
      </c>
      <c r="S161" s="145">
        <f>ROUND(AX161/E161,2)</f>
        <v>0</v>
      </c>
      <c r="T161" s="627">
        <f>Q161+R161+S161</f>
        <v>177.99299999999999</v>
      </c>
      <c r="U161" s="853"/>
      <c r="V161" s="15">
        <v>638685</v>
      </c>
      <c r="W161" s="15">
        <v>192917</v>
      </c>
      <c r="X161" s="15">
        <f>50252-5201</f>
        <v>45051</v>
      </c>
      <c r="Y161" s="15">
        <f>ROUND(X161*0.302,0)</f>
        <v>13605</v>
      </c>
      <c r="Z161" s="15"/>
      <c r="AA161" s="295"/>
      <c r="AB161" s="295"/>
      <c r="AC161" s="295"/>
      <c r="AD161" s="15">
        <v>3207</v>
      </c>
      <c r="AE161" s="15"/>
      <c r="AF161" s="15">
        <v>330</v>
      </c>
      <c r="AG161" s="15">
        <v>993</v>
      </c>
      <c r="AH161" s="15"/>
      <c r="AI161" s="15"/>
      <c r="AJ161" s="15"/>
      <c r="AK161" s="15">
        <v>1985</v>
      </c>
      <c r="AL161" s="15">
        <f t="shared" si="221"/>
        <v>6515</v>
      </c>
      <c r="AM161" s="295"/>
      <c r="AN161" s="295"/>
      <c r="AO161" s="295"/>
      <c r="AP161" s="295"/>
      <c r="AQ161" s="295"/>
      <c r="AR161" s="856"/>
      <c r="AS161" s="295"/>
      <c r="AT161" s="295"/>
      <c r="AU161" s="295"/>
      <c r="AV161" s="295"/>
      <c r="AW161" s="295"/>
      <c r="AX161" s="295"/>
      <c r="AY161" s="295"/>
      <c r="AZ161" s="295"/>
      <c r="BA161" s="295"/>
      <c r="BB161" s="295"/>
      <c r="BC161" s="295"/>
      <c r="BD161" s="295"/>
      <c r="BE161" s="295"/>
      <c r="BF161" s="15">
        <f>BF162-BF157-BF158-BF159-BF160</f>
        <v>12397</v>
      </c>
      <c r="BG161" s="15"/>
      <c r="BH161" s="15">
        <f t="shared" si="205"/>
        <v>909170</v>
      </c>
      <c r="BI161" s="447">
        <f t="shared" si="226"/>
        <v>177.99</v>
      </c>
      <c r="BJ161" s="76">
        <f t="shared" si="231"/>
        <v>683736</v>
      </c>
      <c r="BK161" s="76">
        <f t="shared" si="231"/>
        <v>206522</v>
      </c>
      <c r="BL161" s="76">
        <f>Z161+AB161+AC161+AA161</f>
        <v>0</v>
      </c>
      <c r="BM161" s="76">
        <f>BF161</f>
        <v>12397</v>
      </c>
      <c r="BN161" s="76">
        <f>BE161</f>
        <v>0</v>
      </c>
      <c r="BO161" s="76">
        <f>BG161+AL161+AM161+AN161+AO161+AP161+AQ161+AS161+AT161+AU161+AV161+AW161+AX161+AY161+AZ161+BA161+BB161+BC161+BD161</f>
        <v>6515</v>
      </c>
      <c r="BP161" s="92">
        <f>SUM(BJ161:BO161)</f>
        <v>909170</v>
      </c>
    </row>
    <row r="162" spans="1:68" ht="27.75" customHeight="1">
      <c r="A162" s="109" t="s">
        <v>251</v>
      </c>
      <c r="B162" s="29"/>
      <c r="C162" s="29" t="s">
        <v>252</v>
      </c>
      <c r="D162" s="158"/>
      <c r="E162" s="32">
        <v>8018</v>
      </c>
      <c r="F162" s="159"/>
      <c r="G162" s="30">
        <f t="shared" si="229"/>
        <v>165.054</v>
      </c>
      <c r="H162" s="30">
        <f>ROUND((X162+Y162)/E162,3)</f>
        <v>13.515000000000001</v>
      </c>
      <c r="I162" s="30">
        <f t="shared" si="206"/>
        <v>178.56900000000002</v>
      </c>
      <c r="J162" s="30">
        <f>ROUND((AL162-AK162)/E162,2)</f>
        <v>1</v>
      </c>
      <c r="K162" s="30">
        <f t="shared" si="214"/>
        <v>0</v>
      </c>
      <c r="L162" s="30">
        <f t="shared" si="215"/>
        <v>0</v>
      </c>
      <c r="M162" s="30">
        <f t="shared" si="216"/>
        <v>0</v>
      </c>
      <c r="N162" s="33">
        <f t="shared" si="217"/>
        <v>0</v>
      </c>
      <c r="O162" s="33">
        <f>ROUND(BF162/E162,3)</f>
        <v>3.5219999999999998</v>
      </c>
      <c r="P162" s="33">
        <f t="shared" si="218"/>
        <v>0.435</v>
      </c>
      <c r="Q162" s="30">
        <f t="shared" si="207"/>
        <v>183.52600000000001</v>
      </c>
      <c r="R162" s="30">
        <f t="shared" si="219"/>
        <v>0</v>
      </c>
      <c r="S162" s="30">
        <f t="shared" si="220"/>
        <v>0</v>
      </c>
      <c r="T162" s="627">
        <f t="shared" si="230"/>
        <v>183.52600000000001</v>
      </c>
      <c r="U162" s="159"/>
      <c r="V162" s="24">
        <f>SUM(V157:V161)</f>
        <v>1016415</v>
      </c>
      <c r="W162" s="24">
        <f>SUM(W157:W161)</f>
        <v>306991</v>
      </c>
      <c r="X162" s="24">
        <f>SUM(X157:X161)</f>
        <v>83229</v>
      </c>
      <c r="Y162" s="24">
        <f>SUM(Y157:Y161)</f>
        <v>25134</v>
      </c>
      <c r="Z162" s="24">
        <f t="shared" ref="Z162:BP162" si="232">SUM(Z157:Z161)</f>
        <v>0</v>
      </c>
      <c r="AA162" s="24">
        <f t="shared" si="232"/>
        <v>0</v>
      </c>
      <c r="AB162" s="24">
        <f t="shared" si="232"/>
        <v>0</v>
      </c>
      <c r="AC162" s="24">
        <f t="shared" si="232"/>
        <v>0</v>
      </c>
      <c r="AD162" s="24">
        <f t="shared" si="232"/>
        <v>5712</v>
      </c>
      <c r="AE162" s="24">
        <f t="shared" si="232"/>
        <v>0</v>
      </c>
      <c r="AF162" s="24">
        <f t="shared" si="232"/>
        <v>580</v>
      </c>
      <c r="AG162" s="24">
        <f t="shared" si="232"/>
        <v>1744</v>
      </c>
      <c r="AH162" s="24">
        <f t="shared" si="232"/>
        <v>0</v>
      </c>
      <c r="AI162" s="24">
        <f t="shared" si="232"/>
        <v>0</v>
      </c>
      <c r="AJ162" s="24">
        <f t="shared" si="232"/>
        <v>0</v>
      </c>
      <c r="AK162" s="24">
        <f t="shared" si="232"/>
        <v>3488</v>
      </c>
      <c r="AL162" s="24">
        <f t="shared" si="232"/>
        <v>11524</v>
      </c>
      <c r="AM162" s="24">
        <f t="shared" si="232"/>
        <v>0</v>
      </c>
      <c r="AN162" s="24">
        <f t="shared" si="232"/>
        <v>0</v>
      </c>
      <c r="AO162" s="24">
        <f t="shared" si="232"/>
        <v>0</v>
      </c>
      <c r="AP162" s="24">
        <f t="shared" si="232"/>
        <v>0</v>
      </c>
      <c r="AQ162" s="24">
        <f t="shared" si="232"/>
        <v>0</v>
      </c>
      <c r="AR162" s="24">
        <f t="shared" si="232"/>
        <v>0</v>
      </c>
      <c r="AS162" s="24">
        <f t="shared" si="232"/>
        <v>0</v>
      </c>
      <c r="AT162" s="24">
        <f t="shared" si="232"/>
        <v>0</v>
      </c>
      <c r="AU162" s="24">
        <f t="shared" si="232"/>
        <v>0</v>
      </c>
      <c r="AV162" s="24">
        <f t="shared" si="232"/>
        <v>0</v>
      </c>
      <c r="AW162" s="24">
        <f t="shared" si="232"/>
        <v>0</v>
      </c>
      <c r="AX162" s="24">
        <f t="shared" si="232"/>
        <v>0</v>
      </c>
      <c r="AY162" s="24">
        <f t="shared" si="232"/>
        <v>0</v>
      </c>
      <c r="AZ162" s="24">
        <f t="shared" si="232"/>
        <v>0</v>
      </c>
      <c r="BA162" s="24">
        <f t="shared" si="232"/>
        <v>0</v>
      </c>
      <c r="BB162" s="24">
        <f t="shared" si="232"/>
        <v>0</v>
      </c>
      <c r="BC162" s="24">
        <f t="shared" si="232"/>
        <v>0</v>
      </c>
      <c r="BD162" s="24">
        <f t="shared" si="232"/>
        <v>0</v>
      </c>
      <c r="BE162" s="24">
        <f>SUM(BE157:BE161)</f>
        <v>0</v>
      </c>
      <c r="BF162" s="24">
        <v>28239</v>
      </c>
      <c r="BG162" s="24">
        <f t="shared" si="232"/>
        <v>0</v>
      </c>
      <c r="BH162" s="24">
        <f t="shared" si="232"/>
        <v>1471532</v>
      </c>
      <c r="BI162" s="447">
        <f t="shared" si="226"/>
        <v>183.53</v>
      </c>
      <c r="BJ162" s="24">
        <f t="shared" si="232"/>
        <v>1099644</v>
      </c>
      <c r="BK162" s="24">
        <f t="shared" si="232"/>
        <v>332125</v>
      </c>
      <c r="BL162" s="24">
        <f t="shared" si="232"/>
        <v>0</v>
      </c>
      <c r="BM162" s="24">
        <f t="shared" si="232"/>
        <v>28239</v>
      </c>
      <c r="BN162" s="24">
        <f t="shared" si="232"/>
        <v>0</v>
      </c>
      <c r="BO162" s="24">
        <f t="shared" si="232"/>
        <v>11524</v>
      </c>
      <c r="BP162" s="24">
        <f t="shared" si="232"/>
        <v>1471532</v>
      </c>
    </row>
    <row r="163" spans="1:68" ht="15" hidden="1" customHeight="1" outlineLevel="1">
      <c r="A163" s="857" t="s">
        <v>194</v>
      </c>
      <c r="B163" s="648" t="s">
        <v>197</v>
      </c>
      <c r="C163" s="648" t="s">
        <v>189</v>
      </c>
      <c r="D163" s="157" t="s">
        <v>190</v>
      </c>
      <c r="E163" s="10">
        <v>0</v>
      </c>
      <c r="F163" s="671" t="s">
        <v>219</v>
      </c>
      <c r="G163" s="8" t="e">
        <f t="shared" si="229"/>
        <v>#DIV/0!</v>
      </c>
      <c r="H163" s="8" t="e">
        <f t="shared" ref="H163:H176" si="233">ROUND((X163+Y163)/E163,2)</f>
        <v>#DIV/0!</v>
      </c>
      <c r="I163" s="8" t="e">
        <f t="shared" ref="I163:I169" si="234">G163+H163</f>
        <v>#DIV/0!</v>
      </c>
      <c r="J163" s="8" t="e">
        <f>ROUND(AL163/E163,3)</f>
        <v>#DIV/0!</v>
      </c>
      <c r="K163" s="8" t="e">
        <f t="shared" si="214"/>
        <v>#DIV/0!</v>
      </c>
      <c r="L163" s="8" t="e">
        <f t="shared" si="215"/>
        <v>#DIV/0!</v>
      </c>
      <c r="M163" s="8" t="e">
        <f t="shared" si="216"/>
        <v>#DIV/0!</v>
      </c>
      <c r="N163" s="11" t="e">
        <f t="shared" si="217"/>
        <v>#DIV/0!</v>
      </c>
      <c r="O163" s="11" t="e">
        <f>ROUND(BF163/E163,2)</f>
        <v>#DIV/0!</v>
      </c>
      <c r="P163" s="11" t="e">
        <f t="shared" ref="P163:P174" si="235">ROUND(BG163/E163,2)</f>
        <v>#DIV/0!</v>
      </c>
      <c r="Q163" s="8" t="e">
        <f t="shared" ref="Q163:Q169" si="236">P163+O163+N163+M163+L163+K163+J163+I163</f>
        <v>#DIV/0!</v>
      </c>
      <c r="R163" s="8" t="e">
        <f>ROUND((Z163+AB163+AC163)/E163,2)</f>
        <v>#DIV/0!</v>
      </c>
      <c r="S163" s="8" t="e">
        <f t="shared" si="220"/>
        <v>#DIV/0!</v>
      </c>
      <c r="T163" s="627" t="e">
        <f t="shared" si="208"/>
        <v>#DIV/0!</v>
      </c>
      <c r="U163" s="671" t="s">
        <v>219</v>
      </c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295">
        <f t="shared" ref="AL163:AL168" si="237">AK163+AJ163+AG163+AF163+AD163</f>
        <v>0</v>
      </c>
      <c r="AM163" s="15"/>
      <c r="AN163" s="15"/>
      <c r="AO163" s="15"/>
      <c r="AP163" s="15"/>
      <c r="AQ163" s="15"/>
      <c r="AR163" s="705" t="s">
        <v>219</v>
      </c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>
        <f>V163+W163+X163+Y163+Z163+AB163+AC163+AL163+AM163+AN163+AO163+AP163+AS163+AT163+AU163+AV163+AW163+AX163+AY163+AZ163+BA163+BB163+BC163+BD163+BE163+BF163+BG163+AQ163</f>
        <v>0</v>
      </c>
      <c r="BI163" s="447" t="e">
        <f t="shared" si="226"/>
        <v>#DIV/0!</v>
      </c>
      <c r="BJ163" s="76">
        <f t="shared" ref="BJ163:BJ168" si="238">V163+X163</f>
        <v>0</v>
      </c>
      <c r="BK163" s="76">
        <f t="shared" ref="BK163:BK168" si="239">W163+Y163</f>
        <v>0</v>
      </c>
      <c r="BL163" s="76">
        <f>Z163+AB163+AC163</f>
        <v>0</v>
      </c>
      <c r="BM163" s="76">
        <f t="shared" ref="BM163:BM168" si="240">BF163</f>
        <v>0</v>
      </c>
      <c r="BN163" s="76"/>
      <c r="BO163" s="76">
        <f t="shared" ref="BO163:BO168" si="241">BG163+AL163+AM163+AN163+AO163+AP163+AQ163+AS163+AT163+AU163+AV163+AW163+AX163+AY163+AZ163+BA163+BB163+BC163+BD163</f>
        <v>0</v>
      </c>
      <c r="BP163" s="92">
        <f>BJ163+BK163+BL163+BM163+BO163</f>
        <v>0</v>
      </c>
    </row>
    <row r="164" spans="1:68" ht="15" hidden="1" customHeight="1" outlineLevel="1">
      <c r="A164" s="858"/>
      <c r="B164" s="849"/>
      <c r="C164" s="849"/>
      <c r="D164" s="157" t="s">
        <v>191</v>
      </c>
      <c r="E164" s="10">
        <v>0</v>
      </c>
      <c r="F164" s="829"/>
      <c r="G164" s="8" t="e">
        <f t="shared" si="229"/>
        <v>#DIV/0!</v>
      </c>
      <c r="H164" s="8" t="e">
        <f t="shared" si="233"/>
        <v>#DIV/0!</v>
      </c>
      <c r="I164" s="8" t="e">
        <f t="shared" si="234"/>
        <v>#DIV/0!</v>
      </c>
      <c r="J164" s="8" t="e">
        <f>ROUND(AL164/E164,3)</f>
        <v>#DIV/0!</v>
      </c>
      <c r="K164" s="8" t="e">
        <f t="shared" si="214"/>
        <v>#DIV/0!</v>
      </c>
      <c r="L164" s="8" t="e">
        <f t="shared" si="215"/>
        <v>#DIV/0!</v>
      </c>
      <c r="M164" s="8" t="e">
        <f t="shared" si="216"/>
        <v>#DIV/0!</v>
      </c>
      <c r="N164" s="11" t="e">
        <f t="shared" si="217"/>
        <v>#DIV/0!</v>
      </c>
      <c r="O164" s="11" t="e">
        <f>ROUND(BF164/E164,2)</f>
        <v>#DIV/0!</v>
      </c>
      <c r="P164" s="11" t="e">
        <f t="shared" si="235"/>
        <v>#DIV/0!</v>
      </c>
      <c r="Q164" s="8" t="e">
        <f t="shared" si="236"/>
        <v>#DIV/0!</v>
      </c>
      <c r="R164" s="8" t="e">
        <f>ROUND((Z164+AB164+AC164)/E164,2)</f>
        <v>#DIV/0!</v>
      </c>
      <c r="S164" s="8" t="e">
        <f t="shared" si="220"/>
        <v>#DIV/0!</v>
      </c>
      <c r="T164" s="627" t="e">
        <f t="shared" si="208"/>
        <v>#DIV/0!</v>
      </c>
      <c r="U164" s="829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295">
        <f t="shared" si="237"/>
        <v>0</v>
      </c>
      <c r="AM164" s="15"/>
      <c r="AN164" s="15"/>
      <c r="AO164" s="15"/>
      <c r="AP164" s="15"/>
      <c r="AQ164" s="15"/>
      <c r="AR164" s="827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>
        <f>V164+W164+X164+Y164+Z164+AB164+AC164+AL164+AM164+AN164+AO164+AP164+AS164+AT164+AU164+AV164+AW164+AX164+AY164+AZ164+BA164+BB164+BC164+BD164+BE164+BF164+BG164+AQ164</f>
        <v>0</v>
      </c>
      <c r="BI164" s="447" t="e">
        <f t="shared" si="226"/>
        <v>#DIV/0!</v>
      </c>
      <c r="BJ164" s="76">
        <f t="shared" si="238"/>
        <v>0</v>
      </c>
      <c r="BK164" s="76">
        <f t="shared" si="239"/>
        <v>0</v>
      </c>
      <c r="BL164" s="76">
        <f>Z164+AB164+AC164</f>
        <v>0</v>
      </c>
      <c r="BM164" s="76">
        <f t="shared" si="240"/>
        <v>0</v>
      </c>
      <c r="BN164" s="76"/>
      <c r="BO164" s="76">
        <f t="shared" si="241"/>
        <v>0</v>
      </c>
      <c r="BP164" s="92">
        <f>BJ164+BK164+BL164+BM164+BO164</f>
        <v>0</v>
      </c>
    </row>
    <row r="165" spans="1:68" ht="15" hidden="1" customHeight="1" outlineLevel="1">
      <c r="A165" s="858"/>
      <c r="B165" s="849"/>
      <c r="C165" s="849"/>
      <c r="D165" s="157" t="s">
        <v>192</v>
      </c>
      <c r="E165" s="10">
        <v>0</v>
      </c>
      <c r="F165" s="829"/>
      <c r="G165" s="8" t="e">
        <f t="shared" si="229"/>
        <v>#DIV/0!</v>
      </c>
      <c r="H165" s="8" t="e">
        <f t="shared" si="233"/>
        <v>#DIV/0!</v>
      </c>
      <c r="I165" s="8" t="e">
        <f t="shared" si="234"/>
        <v>#DIV/0!</v>
      </c>
      <c r="J165" s="8" t="e">
        <f>ROUND(AL165/E165,3)</f>
        <v>#DIV/0!</v>
      </c>
      <c r="K165" s="8" t="e">
        <f t="shared" si="214"/>
        <v>#DIV/0!</v>
      </c>
      <c r="L165" s="8" t="e">
        <f t="shared" si="215"/>
        <v>#DIV/0!</v>
      </c>
      <c r="M165" s="8" t="e">
        <f t="shared" si="216"/>
        <v>#DIV/0!</v>
      </c>
      <c r="N165" s="11" t="e">
        <f t="shared" si="217"/>
        <v>#DIV/0!</v>
      </c>
      <c r="O165" s="11" t="e">
        <f>ROUND(BF165/E165,2)</f>
        <v>#DIV/0!</v>
      </c>
      <c r="P165" s="11" t="e">
        <f t="shared" si="235"/>
        <v>#DIV/0!</v>
      </c>
      <c r="Q165" s="8" t="e">
        <f t="shared" si="236"/>
        <v>#DIV/0!</v>
      </c>
      <c r="R165" s="8" t="e">
        <f>ROUND((Z165+AB165+AC165)/E165,2)</f>
        <v>#DIV/0!</v>
      </c>
      <c r="S165" s="8" t="e">
        <f t="shared" si="220"/>
        <v>#DIV/0!</v>
      </c>
      <c r="T165" s="627" t="e">
        <f t="shared" si="208"/>
        <v>#DIV/0!</v>
      </c>
      <c r="U165" s="829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295">
        <f t="shared" si="237"/>
        <v>0</v>
      </c>
      <c r="AM165" s="15"/>
      <c r="AN165" s="15"/>
      <c r="AO165" s="15"/>
      <c r="AP165" s="15"/>
      <c r="AQ165" s="15"/>
      <c r="AR165" s="827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>
        <f>V165+W165+X165+Y165+Z165+AB165+AC165+AL165+AM165+AN165+AO165+AP165+AS165+AT165+AU165+AV165+AW165+AX165+AY165+AZ165+BA165+BB165+BC165+BD165+BE165+BF165+BG165+AQ165</f>
        <v>0</v>
      </c>
      <c r="BI165" s="447" t="e">
        <f t="shared" si="226"/>
        <v>#DIV/0!</v>
      </c>
      <c r="BJ165" s="76">
        <f t="shared" si="238"/>
        <v>0</v>
      </c>
      <c r="BK165" s="76">
        <f t="shared" si="239"/>
        <v>0</v>
      </c>
      <c r="BL165" s="76">
        <f>Z165+AB165+AC165</f>
        <v>0</v>
      </c>
      <c r="BM165" s="76">
        <f t="shared" si="240"/>
        <v>0</v>
      </c>
      <c r="BN165" s="76"/>
      <c r="BO165" s="76">
        <f t="shared" si="241"/>
        <v>0</v>
      </c>
      <c r="BP165" s="92">
        <f>BJ165+BK165+BL165+BM165+BO165</f>
        <v>0</v>
      </c>
    </row>
    <row r="166" spans="1:68" ht="15" hidden="1" customHeight="1" outlineLevel="1">
      <c r="A166" s="858"/>
      <c r="B166" s="849"/>
      <c r="C166" s="849"/>
      <c r="D166" s="157" t="s">
        <v>193</v>
      </c>
      <c r="E166" s="10">
        <v>0</v>
      </c>
      <c r="F166" s="829"/>
      <c r="G166" s="8" t="e">
        <f t="shared" si="229"/>
        <v>#DIV/0!</v>
      </c>
      <c r="H166" s="8" t="e">
        <f t="shared" si="233"/>
        <v>#DIV/0!</v>
      </c>
      <c r="I166" s="8" t="e">
        <f t="shared" si="234"/>
        <v>#DIV/0!</v>
      </c>
      <c r="J166" s="8" t="e">
        <f>ROUND(AL166/E166,3)</f>
        <v>#DIV/0!</v>
      </c>
      <c r="K166" s="8" t="e">
        <f t="shared" si="214"/>
        <v>#DIV/0!</v>
      </c>
      <c r="L166" s="8" t="e">
        <f t="shared" si="215"/>
        <v>#DIV/0!</v>
      </c>
      <c r="M166" s="8" t="e">
        <f t="shared" si="216"/>
        <v>#DIV/0!</v>
      </c>
      <c r="N166" s="11" t="e">
        <f t="shared" si="217"/>
        <v>#DIV/0!</v>
      </c>
      <c r="O166" s="11" t="e">
        <f>ROUND(BF166/E166,2)</f>
        <v>#DIV/0!</v>
      </c>
      <c r="P166" s="11" t="e">
        <f t="shared" si="235"/>
        <v>#DIV/0!</v>
      </c>
      <c r="Q166" s="8" t="e">
        <f t="shared" si="236"/>
        <v>#DIV/0!</v>
      </c>
      <c r="R166" s="8" t="e">
        <f>ROUND((Z166+AB166+AC166)/E166,2)</f>
        <v>#DIV/0!</v>
      </c>
      <c r="S166" s="8" t="e">
        <f t="shared" si="220"/>
        <v>#DIV/0!</v>
      </c>
      <c r="T166" s="627" t="e">
        <f t="shared" si="208"/>
        <v>#DIV/0!</v>
      </c>
      <c r="U166" s="829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295">
        <f t="shared" si="237"/>
        <v>0</v>
      </c>
      <c r="AM166" s="15"/>
      <c r="AN166" s="15"/>
      <c r="AO166" s="15"/>
      <c r="AP166" s="15"/>
      <c r="AQ166" s="15"/>
      <c r="AR166" s="827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>
        <f>V166+W166+X166+Y166+Z166+AB166+AC166+AL166+AM166+AN166+AO166+AP166+AS166+AT166+AU166+AV166+AW166+AX166+AY166+AZ166+BA166+BB166+BC166+BD166+BE166+BF166+BG166+AQ166</f>
        <v>0</v>
      </c>
      <c r="BI166" s="447" t="e">
        <f t="shared" si="226"/>
        <v>#DIV/0!</v>
      </c>
      <c r="BJ166" s="76">
        <f t="shared" si="238"/>
        <v>0</v>
      </c>
      <c r="BK166" s="76">
        <f t="shared" si="239"/>
        <v>0</v>
      </c>
      <c r="BL166" s="76">
        <f>Z166+AB166+AC166</f>
        <v>0</v>
      </c>
      <c r="BM166" s="76">
        <f t="shared" si="240"/>
        <v>0</v>
      </c>
      <c r="BN166" s="76"/>
      <c r="BO166" s="76">
        <f t="shared" si="241"/>
        <v>0</v>
      </c>
      <c r="BP166" s="92">
        <f>BJ166+BK166+BL166+BM166+BO166</f>
        <v>0</v>
      </c>
    </row>
    <row r="167" spans="1:68" ht="58.5" hidden="1" customHeight="1" collapsed="1">
      <c r="A167" s="860"/>
      <c r="B167" s="850"/>
      <c r="C167" s="850"/>
      <c r="D167" s="157" t="s">
        <v>218</v>
      </c>
      <c r="E167" s="10">
        <v>0</v>
      </c>
      <c r="F167" s="829"/>
      <c r="G167" s="8" t="e">
        <f t="shared" si="229"/>
        <v>#DIV/0!</v>
      </c>
      <c r="H167" s="8" t="e">
        <f t="shared" si="233"/>
        <v>#DIV/0!</v>
      </c>
      <c r="I167" s="8" t="e">
        <f>G167+H167</f>
        <v>#DIV/0!</v>
      </c>
      <c r="J167" s="8" t="e">
        <f>ROUND(AL167/E167,3)</f>
        <v>#DIV/0!</v>
      </c>
      <c r="K167" s="8" t="e">
        <f t="shared" si="214"/>
        <v>#DIV/0!</v>
      </c>
      <c r="L167" s="8" t="e">
        <f t="shared" si="215"/>
        <v>#DIV/0!</v>
      </c>
      <c r="M167" s="8" t="e">
        <f t="shared" si="216"/>
        <v>#DIV/0!</v>
      </c>
      <c r="N167" s="11" t="e">
        <f t="shared" si="217"/>
        <v>#DIV/0!</v>
      </c>
      <c r="O167" s="11" t="e">
        <f>ROUND(BF167/E167,3)</f>
        <v>#DIV/0!</v>
      </c>
      <c r="P167" s="11" t="e">
        <f t="shared" si="235"/>
        <v>#DIV/0!</v>
      </c>
      <c r="Q167" s="8" t="e">
        <f>P167+O167+N167+M167+L167+K167+J167+I167</f>
        <v>#DIV/0!</v>
      </c>
      <c r="R167" s="8" t="e">
        <f>ROUND((Z167+AB167+AC167+AA167)/E167,2)</f>
        <v>#DIV/0!</v>
      </c>
      <c r="S167" s="8" t="e">
        <f t="shared" si="220"/>
        <v>#DIV/0!</v>
      </c>
      <c r="T167" s="627" t="e">
        <f t="shared" ref="T167:T176" si="242">Q167+R167+S167</f>
        <v>#DIV/0!</v>
      </c>
      <c r="U167" s="829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295">
        <f t="shared" si="237"/>
        <v>0</v>
      </c>
      <c r="AM167" s="15"/>
      <c r="AN167" s="15"/>
      <c r="AO167" s="15"/>
      <c r="AP167" s="15"/>
      <c r="AQ167" s="15"/>
      <c r="AR167" s="827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>
        <f>V167+W167+X167+Y167+Z167+AB167+AC167+AL167+AM167+AN167+AO167+AP167+AS167+AT167+AU167+AV167+AW167+AX167+AY167+AZ167+BA167+BB167+BC167+BD167+BE167+BF167+BG167+AQ167+AA167</f>
        <v>0</v>
      </c>
      <c r="BI167" s="447" t="e">
        <f t="shared" si="226"/>
        <v>#DIV/0!</v>
      </c>
      <c r="BJ167" s="76">
        <f>V167+X167</f>
        <v>0</v>
      </c>
      <c r="BK167" s="76">
        <f>W167+Y167</f>
        <v>0</v>
      </c>
      <c r="BL167" s="76">
        <f>Z167+AB167+AC167+AA167</f>
        <v>0</v>
      </c>
      <c r="BM167" s="76">
        <f>BF167</f>
        <v>0</v>
      </c>
      <c r="BN167" s="76">
        <f>BE167</f>
        <v>0</v>
      </c>
      <c r="BO167" s="76">
        <f>BG167+AL167+AM167+AN167+AO167+AP167+AQ167+AS167+AT167+AU167+AV167+AW167+AX167+AY167+AZ167+BA167+BB167+BC167+BD167</f>
        <v>0</v>
      </c>
      <c r="BP167" s="92">
        <f>SUM(BJ167:BO167)</f>
        <v>0</v>
      </c>
    </row>
    <row r="168" spans="1:68" ht="87" customHeight="1">
      <c r="A168" s="859"/>
      <c r="B168" s="9" t="s">
        <v>198</v>
      </c>
      <c r="C168" s="9" t="s">
        <v>196</v>
      </c>
      <c r="D168" s="157"/>
      <c r="E168" s="10">
        <v>338</v>
      </c>
      <c r="F168" s="830"/>
      <c r="G168" s="8">
        <f t="shared" si="229"/>
        <v>513.55799999999999</v>
      </c>
      <c r="H168" s="8">
        <f t="shared" si="233"/>
        <v>0</v>
      </c>
      <c r="I168" s="8">
        <f>G168+H168</f>
        <v>513.55799999999999</v>
      </c>
      <c r="J168" s="451">
        <f t="shared" ref="J168:J175" si="243">ROUND((AL168-AK168)/E168,3)</f>
        <v>0.27200000000000002</v>
      </c>
      <c r="K168" s="8">
        <f t="shared" si="214"/>
        <v>0</v>
      </c>
      <c r="L168" s="8">
        <f t="shared" si="215"/>
        <v>0</v>
      </c>
      <c r="M168" s="8">
        <f t="shared" si="216"/>
        <v>0</v>
      </c>
      <c r="N168" s="11">
        <f t="shared" si="217"/>
        <v>0</v>
      </c>
      <c r="O168" s="11">
        <f t="shared" ref="O168:O176" si="244">ROUND(BF168/E168,2)</f>
        <v>1</v>
      </c>
      <c r="P168" s="453">
        <f>ROUND(AK168/E168,3)</f>
        <v>0</v>
      </c>
      <c r="Q168" s="8">
        <f>P168+O168+N168+M168+L168+K168+J168+I168</f>
        <v>514.83000000000004</v>
      </c>
      <c r="R168" s="8">
        <f>ROUND((Z168+AB168+AC168+AA168)/E168,2)</f>
        <v>0</v>
      </c>
      <c r="S168" s="8">
        <f t="shared" si="220"/>
        <v>0</v>
      </c>
      <c r="T168" s="627">
        <f t="shared" si="242"/>
        <v>514.83000000000004</v>
      </c>
      <c r="U168" s="830"/>
      <c r="V168" s="15">
        <v>133320.5</v>
      </c>
      <c r="W168" s="15">
        <v>40262</v>
      </c>
      <c r="X168" s="15"/>
      <c r="Y168" s="15"/>
      <c r="Z168" s="15"/>
      <c r="AA168" s="15"/>
      <c r="AB168" s="15"/>
      <c r="AC168" s="15"/>
      <c r="AD168" s="15">
        <v>92</v>
      </c>
      <c r="AE168" s="15"/>
      <c r="AF168" s="15"/>
      <c r="AG168" s="15"/>
      <c r="AH168" s="15"/>
      <c r="AI168" s="15"/>
      <c r="AJ168" s="15"/>
      <c r="AK168" s="15"/>
      <c r="AL168" s="295">
        <f t="shared" si="237"/>
        <v>92</v>
      </c>
      <c r="AM168" s="15"/>
      <c r="AN168" s="15"/>
      <c r="AO168" s="15"/>
      <c r="AP168" s="15"/>
      <c r="AQ168" s="15"/>
      <c r="AR168" s="828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>
        <v>338</v>
      </c>
      <c r="BG168" s="15"/>
      <c r="BH168" s="15">
        <f>V168+W168+X168+Y168+Z168+AB168+AC168+AL168+AM168+AN168+AO168+AP168+AS168+AT168+AU168+AV168+AW168+AX168+AY168+AZ168+BA168+BB168+BC168+BD168+BE168+BF168+BG168+AQ168+AA168</f>
        <v>174012.5</v>
      </c>
      <c r="BI168" s="447">
        <f t="shared" si="226"/>
        <v>514.83000000000004</v>
      </c>
      <c r="BJ168" s="581">
        <f t="shared" si="238"/>
        <v>133320.5</v>
      </c>
      <c r="BK168" s="76">
        <f t="shared" si="239"/>
        <v>40262</v>
      </c>
      <c r="BL168" s="76">
        <f>Z168+AB168+AC168+AA168</f>
        <v>0</v>
      </c>
      <c r="BM168" s="76">
        <f t="shared" si="240"/>
        <v>338</v>
      </c>
      <c r="BN168" s="76">
        <f>BE168</f>
        <v>0</v>
      </c>
      <c r="BO168" s="76">
        <f t="shared" si="241"/>
        <v>92</v>
      </c>
      <c r="BP168" s="92">
        <f>SUM(BJ168:BO168)</f>
        <v>174012.5</v>
      </c>
    </row>
    <row r="169" spans="1:68" ht="27.75" customHeight="1">
      <c r="A169" s="109" t="s">
        <v>251</v>
      </c>
      <c r="B169" s="29"/>
      <c r="C169" s="29" t="s">
        <v>252</v>
      </c>
      <c r="D169" s="158"/>
      <c r="E169" s="32">
        <f>E168</f>
        <v>338</v>
      </c>
      <c r="F169" s="159"/>
      <c r="G169" s="30">
        <f>ROUND((V169+W169)/E169,2)</f>
        <v>513.55999999999995</v>
      </c>
      <c r="H169" s="30">
        <f t="shared" si="233"/>
        <v>0</v>
      </c>
      <c r="I169" s="30">
        <f t="shared" si="234"/>
        <v>513.55999999999995</v>
      </c>
      <c r="J169" s="30">
        <f>ROUND((AL169-AK169)/E169,2)</f>
        <v>0.27</v>
      </c>
      <c r="K169" s="30">
        <f t="shared" si="214"/>
        <v>0</v>
      </c>
      <c r="L169" s="30">
        <f t="shared" si="215"/>
        <v>0</v>
      </c>
      <c r="M169" s="30">
        <f t="shared" si="216"/>
        <v>0</v>
      </c>
      <c r="N169" s="33">
        <f t="shared" si="217"/>
        <v>0</v>
      </c>
      <c r="O169" s="33">
        <f t="shared" si="244"/>
        <v>1</v>
      </c>
      <c r="P169" s="33">
        <f>ROUND(AK169/E169,3)</f>
        <v>0</v>
      </c>
      <c r="Q169" s="30">
        <f t="shared" si="236"/>
        <v>514.82999999999993</v>
      </c>
      <c r="R169" s="30">
        <f t="shared" ref="R169:R174" si="245">ROUND((Z169+AB169+AC169)/E169,2)</f>
        <v>0</v>
      </c>
      <c r="S169" s="30">
        <f t="shared" si="220"/>
        <v>0</v>
      </c>
      <c r="T169" s="627">
        <f t="shared" si="242"/>
        <v>514.82999999999993</v>
      </c>
      <c r="U169" s="159"/>
      <c r="V169" s="24">
        <f t="shared" ref="V169:AA169" si="246">SUM(V168)</f>
        <v>133320.5</v>
      </c>
      <c r="W169" s="24">
        <f t="shared" si="246"/>
        <v>40262</v>
      </c>
      <c r="X169" s="24">
        <f t="shared" si="246"/>
        <v>0</v>
      </c>
      <c r="Y169" s="24">
        <f t="shared" si="246"/>
        <v>0</v>
      </c>
      <c r="Z169" s="24">
        <f t="shared" si="246"/>
        <v>0</v>
      </c>
      <c r="AA169" s="24">
        <f t="shared" si="246"/>
        <v>0</v>
      </c>
      <c r="AB169" s="24">
        <f t="shared" ref="AB169:BG169" si="247">AB163+AB164+AB165+AB166+AB168</f>
        <v>0</v>
      </c>
      <c r="AC169" s="24">
        <f t="shared" si="247"/>
        <v>0</v>
      </c>
      <c r="AD169" s="24">
        <f t="shared" si="247"/>
        <v>92</v>
      </c>
      <c r="AE169" s="24">
        <f t="shared" si="247"/>
        <v>0</v>
      </c>
      <c r="AF169" s="24">
        <f t="shared" si="247"/>
        <v>0</v>
      </c>
      <c r="AG169" s="24">
        <f t="shared" si="247"/>
        <v>0</v>
      </c>
      <c r="AH169" s="24">
        <f t="shared" si="247"/>
        <v>0</v>
      </c>
      <c r="AI169" s="24">
        <f t="shared" si="247"/>
        <v>0</v>
      </c>
      <c r="AJ169" s="24">
        <f t="shared" si="247"/>
        <v>0</v>
      </c>
      <c r="AK169" s="24">
        <f t="shared" si="247"/>
        <v>0</v>
      </c>
      <c r="AL169" s="24">
        <f>AL167+AL168</f>
        <v>92</v>
      </c>
      <c r="AM169" s="24">
        <f t="shared" si="247"/>
        <v>0</v>
      </c>
      <c r="AN169" s="24">
        <f t="shared" si="247"/>
        <v>0</v>
      </c>
      <c r="AO169" s="24">
        <f t="shared" si="247"/>
        <v>0</v>
      </c>
      <c r="AP169" s="24">
        <f t="shared" si="247"/>
        <v>0</v>
      </c>
      <c r="AQ169" s="24">
        <f t="shared" si="247"/>
        <v>0</v>
      </c>
      <c r="AR169" s="307"/>
      <c r="AS169" s="24">
        <f t="shared" si="247"/>
        <v>0</v>
      </c>
      <c r="AT169" s="24">
        <f t="shared" si="247"/>
        <v>0</v>
      </c>
      <c r="AU169" s="24">
        <f t="shared" si="247"/>
        <v>0</v>
      </c>
      <c r="AV169" s="24">
        <f t="shared" si="247"/>
        <v>0</v>
      </c>
      <c r="AW169" s="24">
        <f t="shared" si="247"/>
        <v>0</v>
      </c>
      <c r="AX169" s="24">
        <f t="shared" si="247"/>
        <v>0</v>
      </c>
      <c r="AY169" s="24">
        <f t="shared" si="247"/>
        <v>0</v>
      </c>
      <c r="AZ169" s="24">
        <f t="shared" si="247"/>
        <v>0</v>
      </c>
      <c r="BA169" s="24">
        <f t="shared" si="247"/>
        <v>0</v>
      </c>
      <c r="BB169" s="24">
        <f t="shared" si="247"/>
        <v>0</v>
      </c>
      <c r="BC169" s="24">
        <f t="shared" si="247"/>
        <v>0</v>
      </c>
      <c r="BD169" s="24">
        <f t="shared" si="247"/>
        <v>0</v>
      </c>
      <c r="BE169" s="24">
        <f t="shared" si="247"/>
        <v>0</v>
      </c>
      <c r="BF169" s="24">
        <v>338</v>
      </c>
      <c r="BG169" s="24">
        <f t="shared" si="247"/>
        <v>0</v>
      </c>
      <c r="BH169" s="24">
        <f>V169+W169+X169+Y169+Z169+AB169+AC169+AL169+AM169+AN169+AO169+AP169+AS169+AT169+AU169+AV169+AW169+AX169+AY169+AZ169+BA169+BB169+BC169+BD169+BE169+BF169+BG169+AQ169+AA169</f>
        <v>174012.5</v>
      </c>
      <c r="BI169" s="447">
        <f t="shared" si="226"/>
        <v>514.83000000000004</v>
      </c>
      <c r="BJ169" s="24">
        <f t="shared" ref="BJ169:BP169" si="248">BJ164+BJ165+BJ166+BJ167+BJ168</f>
        <v>133320.5</v>
      </c>
      <c r="BK169" s="24">
        <f t="shared" si="248"/>
        <v>40262</v>
      </c>
      <c r="BL169" s="24">
        <f t="shared" si="248"/>
        <v>0</v>
      </c>
      <c r="BM169" s="24">
        <f t="shared" si="248"/>
        <v>338</v>
      </c>
      <c r="BN169" s="24">
        <f t="shared" si="248"/>
        <v>0</v>
      </c>
      <c r="BO169" s="24">
        <f t="shared" si="248"/>
        <v>92</v>
      </c>
      <c r="BP169" s="24">
        <f t="shared" si="248"/>
        <v>174012.5</v>
      </c>
    </row>
    <row r="170" spans="1:68" ht="15" hidden="1" customHeight="1" outlineLevel="1">
      <c r="A170" s="648" t="s">
        <v>194</v>
      </c>
      <c r="B170" s="648" t="s">
        <v>197</v>
      </c>
      <c r="C170" s="648" t="s">
        <v>189</v>
      </c>
      <c r="D170" s="157" t="s">
        <v>190</v>
      </c>
      <c r="E170" s="10">
        <v>0</v>
      </c>
      <c r="F170" s="671" t="s">
        <v>220</v>
      </c>
      <c r="G170" s="8" t="e">
        <f t="shared" ref="G170:G175" si="249">ROUND((V170+W170)/E170,3)</f>
        <v>#DIV/0!</v>
      </c>
      <c r="H170" s="8" t="e">
        <f t="shared" si="233"/>
        <v>#DIV/0!</v>
      </c>
      <c r="I170" s="8" t="e">
        <f t="shared" ref="I170:I176" si="250">G170+H170</f>
        <v>#DIV/0!</v>
      </c>
      <c r="J170" s="451" t="e">
        <f t="shared" si="243"/>
        <v>#DIV/0!</v>
      </c>
      <c r="K170" s="8" t="e">
        <f t="shared" si="214"/>
        <v>#DIV/0!</v>
      </c>
      <c r="L170" s="8" t="e">
        <f t="shared" si="215"/>
        <v>#DIV/0!</v>
      </c>
      <c r="M170" s="8" t="e">
        <f t="shared" si="216"/>
        <v>#DIV/0!</v>
      </c>
      <c r="N170" s="11" t="e">
        <f t="shared" si="217"/>
        <v>#DIV/0!</v>
      </c>
      <c r="O170" s="11" t="e">
        <f t="shared" si="244"/>
        <v>#DIV/0!</v>
      </c>
      <c r="P170" s="11" t="e">
        <f t="shared" si="235"/>
        <v>#DIV/0!</v>
      </c>
      <c r="Q170" s="8" t="e">
        <f t="shared" ref="Q170:Q176" si="251">P170+O170+N170+M170+L170+K170+J170+I170</f>
        <v>#DIV/0!</v>
      </c>
      <c r="R170" s="8" t="e">
        <f t="shared" si="245"/>
        <v>#DIV/0!</v>
      </c>
      <c r="S170" s="8" t="e">
        <f t="shared" si="220"/>
        <v>#DIV/0!</v>
      </c>
      <c r="T170" s="627" t="e">
        <f t="shared" si="242"/>
        <v>#DIV/0!</v>
      </c>
      <c r="U170" s="671" t="s">
        <v>220</v>
      </c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705" t="s">
        <v>220</v>
      </c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>
        <f t="shared" ref="BH170:BH175" si="252">V170+W170+X170+Y170+Z170+AB170+AC170+AL170+AM170+AN170+AO170+AP170+AS170+AT170+AU170+AV170+AW170+AX170+AY170+AZ170+BA170+BB170+BC170+BD170+BE170+BF170+BG170+AQ170</f>
        <v>0</v>
      </c>
      <c r="BI170" s="447" t="e">
        <f t="shared" si="226"/>
        <v>#DIV/0!</v>
      </c>
      <c r="BJ170" s="76">
        <f t="shared" ref="BJ170:BK175" si="253">V170+X170</f>
        <v>0</v>
      </c>
      <c r="BK170" s="76">
        <f t="shared" si="253"/>
        <v>0</v>
      </c>
      <c r="BL170" s="76">
        <f>Z170+AB170+AC170</f>
        <v>0</v>
      </c>
      <c r="BM170" s="76">
        <f t="shared" ref="BM170:BM175" si="254">BF170</f>
        <v>0</v>
      </c>
      <c r="BN170" s="76">
        <f>BE170</f>
        <v>0</v>
      </c>
      <c r="BO170" s="76">
        <f t="shared" ref="BO170:BO175" si="255">BG170+AL170+AM170+AN170+AO170+AP170+AQ170+AS170+AT170+AU170+AV170+AW170+AX170+AY170+AZ170+BA170+BB170+BC170+BD170</f>
        <v>0</v>
      </c>
      <c r="BP170" s="92">
        <f>BJ170+BK170+BL170+BM170+BO170</f>
        <v>0</v>
      </c>
    </row>
    <row r="171" spans="1:68" ht="15" hidden="1" customHeight="1" outlineLevel="1">
      <c r="A171" s="789"/>
      <c r="B171" s="849"/>
      <c r="C171" s="849"/>
      <c r="D171" s="157" t="s">
        <v>191</v>
      </c>
      <c r="E171" s="10">
        <v>0</v>
      </c>
      <c r="F171" s="829"/>
      <c r="G171" s="8" t="e">
        <f t="shared" si="249"/>
        <v>#DIV/0!</v>
      </c>
      <c r="H171" s="8" t="e">
        <f t="shared" si="233"/>
        <v>#DIV/0!</v>
      </c>
      <c r="I171" s="8" t="e">
        <f t="shared" si="250"/>
        <v>#DIV/0!</v>
      </c>
      <c r="J171" s="451" t="e">
        <f t="shared" si="243"/>
        <v>#DIV/0!</v>
      </c>
      <c r="K171" s="8" t="e">
        <f t="shared" si="214"/>
        <v>#DIV/0!</v>
      </c>
      <c r="L171" s="8" t="e">
        <f t="shared" si="215"/>
        <v>#DIV/0!</v>
      </c>
      <c r="M171" s="8" t="e">
        <f t="shared" si="216"/>
        <v>#DIV/0!</v>
      </c>
      <c r="N171" s="11" t="e">
        <f t="shared" si="217"/>
        <v>#DIV/0!</v>
      </c>
      <c r="O171" s="11" t="e">
        <f t="shared" si="244"/>
        <v>#DIV/0!</v>
      </c>
      <c r="P171" s="11" t="e">
        <f t="shared" si="235"/>
        <v>#DIV/0!</v>
      </c>
      <c r="Q171" s="8" t="e">
        <f t="shared" si="251"/>
        <v>#DIV/0!</v>
      </c>
      <c r="R171" s="8" t="e">
        <f t="shared" si="245"/>
        <v>#DIV/0!</v>
      </c>
      <c r="S171" s="8" t="e">
        <f t="shared" si="220"/>
        <v>#DIV/0!</v>
      </c>
      <c r="T171" s="627" t="e">
        <f t="shared" si="242"/>
        <v>#DIV/0!</v>
      </c>
      <c r="U171" s="829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827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>
        <f t="shared" si="252"/>
        <v>0</v>
      </c>
      <c r="BI171" s="447" t="e">
        <f t="shared" si="226"/>
        <v>#DIV/0!</v>
      </c>
      <c r="BJ171" s="76">
        <f t="shared" si="253"/>
        <v>0</v>
      </c>
      <c r="BK171" s="76">
        <f t="shared" si="253"/>
        <v>0</v>
      </c>
      <c r="BL171" s="76">
        <f>Z171+AB171+AC171</f>
        <v>0</v>
      </c>
      <c r="BM171" s="76">
        <f t="shared" si="254"/>
        <v>0</v>
      </c>
      <c r="BN171" s="76">
        <f>BE171</f>
        <v>0</v>
      </c>
      <c r="BO171" s="76">
        <f t="shared" si="255"/>
        <v>0</v>
      </c>
      <c r="BP171" s="92">
        <f>BJ171+BK171+BL171+BM171+BO171</f>
        <v>0</v>
      </c>
    </row>
    <row r="172" spans="1:68" ht="15" hidden="1" customHeight="1" outlineLevel="1">
      <c r="A172" s="789"/>
      <c r="B172" s="849"/>
      <c r="C172" s="849"/>
      <c r="D172" s="157" t="s">
        <v>192</v>
      </c>
      <c r="E172" s="10">
        <v>0</v>
      </c>
      <c r="F172" s="829"/>
      <c r="G172" s="8" t="e">
        <f t="shared" si="249"/>
        <v>#DIV/0!</v>
      </c>
      <c r="H172" s="8" t="e">
        <f t="shared" si="233"/>
        <v>#DIV/0!</v>
      </c>
      <c r="I172" s="8" t="e">
        <f t="shared" si="250"/>
        <v>#DIV/0!</v>
      </c>
      <c r="J172" s="451" t="e">
        <f t="shared" si="243"/>
        <v>#DIV/0!</v>
      </c>
      <c r="K172" s="8" t="e">
        <f t="shared" si="214"/>
        <v>#DIV/0!</v>
      </c>
      <c r="L172" s="8" t="e">
        <f t="shared" si="215"/>
        <v>#DIV/0!</v>
      </c>
      <c r="M172" s="8" t="e">
        <f t="shared" si="216"/>
        <v>#DIV/0!</v>
      </c>
      <c r="N172" s="11" t="e">
        <f t="shared" si="217"/>
        <v>#DIV/0!</v>
      </c>
      <c r="O172" s="11" t="e">
        <f t="shared" si="244"/>
        <v>#DIV/0!</v>
      </c>
      <c r="P172" s="11" t="e">
        <f t="shared" si="235"/>
        <v>#DIV/0!</v>
      </c>
      <c r="Q172" s="8" t="e">
        <f t="shared" si="251"/>
        <v>#DIV/0!</v>
      </c>
      <c r="R172" s="8" t="e">
        <f t="shared" si="245"/>
        <v>#DIV/0!</v>
      </c>
      <c r="S172" s="8" t="e">
        <f t="shared" si="220"/>
        <v>#DIV/0!</v>
      </c>
      <c r="T172" s="627" t="e">
        <f t="shared" si="242"/>
        <v>#DIV/0!</v>
      </c>
      <c r="U172" s="829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827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>
        <f t="shared" si="252"/>
        <v>0</v>
      </c>
      <c r="BI172" s="447" t="e">
        <f t="shared" si="226"/>
        <v>#DIV/0!</v>
      </c>
      <c r="BJ172" s="76">
        <f t="shared" si="253"/>
        <v>0</v>
      </c>
      <c r="BK172" s="76">
        <f t="shared" si="253"/>
        <v>0</v>
      </c>
      <c r="BL172" s="76">
        <f>Z172+AB172+AC172</f>
        <v>0</v>
      </c>
      <c r="BM172" s="76">
        <f t="shared" si="254"/>
        <v>0</v>
      </c>
      <c r="BN172" s="24">
        <f>BN167+BN168+BN169+BN170+BN171</f>
        <v>0</v>
      </c>
      <c r="BO172" s="76">
        <f t="shared" si="255"/>
        <v>0</v>
      </c>
      <c r="BP172" s="92">
        <f>BJ172+BK172+BL172+BM172+BO172</f>
        <v>0</v>
      </c>
    </row>
    <row r="173" spans="1:68" ht="15" hidden="1" customHeight="1" outlineLevel="1">
      <c r="A173" s="789"/>
      <c r="B173" s="849"/>
      <c r="C173" s="849"/>
      <c r="D173" s="157" t="s">
        <v>193</v>
      </c>
      <c r="E173" s="10">
        <v>0</v>
      </c>
      <c r="F173" s="829"/>
      <c r="G173" s="8" t="e">
        <f t="shared" si="249"/>
        <v>#DIV/0!</v>
      </c>
      <c r="H173" s="8" t="e">
        <f t="shared" si="233"/>
        <v>#DIV/0!</v>
      </c>
      <c r="I173" s="8" t="e">
        <f t="shared" si="250"/>
        <v>#DIV/0!</v>
      </c>
      <c r="J173" s="30" t="e">
        <f>ROUND((AL173-AK173)/E173,2)</f>
        <v>#DIV/0!</v>
      </c>
      <c r="K173" s="8" t="e">
        <f t="shared" si="214"/>
        <v>#DIV/0!</v>
      </c>
      <c r="L173" s="8" t="e">
        <f t="shared" si="215"/>
        <v>#DIV/0!</v>
      </c>
      <c r="M173" s="8" t="e">
        <f t="shared" si="216"/>
        <v>#DIV/0!</v>
      </c>
      <c r="N173" s="11" t="e">
        <f t="shared" si="217"/>
        <v>#DIV/0!</v>
      </c>
      <c r="O173" s="11" t="e">
        <f t="shared" si="244"/>
        <v>#DIV/0!</v>
      </c>
      <c r="P173" s="11" t="e">
        <f t="shared" si="235"/>
        <v>#DIV/0!</v>
      </c>
      <c r="Q173" s="8" t="e">
        <f t="shared" si="251"/>
        <v>#DIV/0!</v>
      </c>
      <c r="R173" s="8" t="e">
        <f t="shared" si="245"/>
        <v>#DIV/0!</v>
      </c>
      <c r="S173" s="8" t="e">
        <f t="shared" si="220"/>
        <v>#DIV/0!</v>
      </c>
      <c r="T173" s="627" t="e">
        <f t="shared" si="242"/>
        <v>#DIV/0!</v>
      </c>
      <c r="U173" s="829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827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>
        <f t="shared" si="252"/>
        <v>0</v>
      </c>
      <c r="BI173" s="447" t="e">
        <f t="shared" si="226"/>
        <v>#DIV/0!</v>
      </c>
      <c r="BJ173" s="76">
        <f t="shared" si="253"/>
        <v>0</v>
      </c>
      <c r="BK173" s="76">
        <f t="shared" si="253"/>
        <v>0</v>
      </c>
      <c r="BL173" s="76">
        <f>Z173+AB173+AC173</f>
        <v>0</v>
      </c>
      <c r="BM173" s="76">
        <f t="shared" si="254"/>
        <v>0</v>
      </c>
      <c r="BN173" s="76"/>
      <c r="BO173" s="76">
        <f t="shared" si="255"/>
        <v>0</v>
      </c>
      <c r="BP173" s="92">
        <f>BJ173+BK173+BL173+BM173+BO173</f>
        <v>0</v>
      </c>
    </row>
    <row r="174" spans="1:68" ht="45" hidden="1" customHeight="1" outlineLevel="1">
      <c r="A174" s="850"/>
      <c r="B174" s="9" t="s">
        <v>198</v>
      </c>
      <c r="C174" s="9" t="s">
        <v>196</v>
      </c>
      <c r="D174" s="157"/>
      <c r="E174" s="10">
        <v>0</v>
      </c>
      <c r="F174" s="829"/>
      <c r="G174" s="8" t="e">
        <f t="shared" si="249"/>
        <v>#DIV/0!</v>
      </c>
      <c r="H174" s="8" t="e">
        <f t="shared" si="233"/>
        <v>#DIV/0!</v>
      </c>
      <c r="I174" s="8" t="e">
        <f t="shared" si="250"/>
        <v>#DIV/0!</v>
      </c>
      <c r="J174" s="8" t="e">
        <f>ROUND(AL174/E174,3)</f>
        <v>#DIV/0!</v>
      </c>
      <c r="K174" s="8" t="e">
        <f t="shared" si="214"/>
        <v>#DIV/0!</v>
      </c>
      <c r="L174" s="8" t="e">
        <f t="shared" si="215"/>
        <v>#DIV/0!</v>
      </c>
      <c r="M174" s="8" t="e">
        <f t="shared" si="216"/>
        <v>#DIV/0!</v>
      </c>
      <c r="N174" s="11" t="e">
        <f t="shared" si="217"/>
        <v>#DIV/0!</v>
      </c>
      <c r="O174" s="11" t="e">
        <f t="shared" si="244"/>
        <v>#DIV/0!</v>
      </c>
      <c r="P174" s="11" t="e">
        <f t="shared" si="235"/>
        <v>#DIV/0!</v>
      </c>
      <c r="Q174" s="8" t="e">
        <f t="shared" si="251"/>
        <v>#DIV/0!</v>
      </c>
      <c r="R174" s="8" t="e">
        <f t="shared" si="245"/>
        <v>#DIV/0!</v>
      </c>
      <c r="S174" s="8" t="e">
        <f t="shared" si="220"/>
        <v>#DIV/0!</v>
      </c>
      <c r="T174" s="627" t="e">
        <f t="shared" si="242"/>
        <v>#DIV/0!</v>
      </c>
      <c r="U174" s="829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827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>
        <f t="shared" si="252"/>
        <v>0</v>
      </c>
      <c r="BI174" s="447" t="e">
        <f t="shared" si="226"/>
        <v>#DIV/0!</v>
      </c>
      <c r="BJ174" s="76">
        <f t="shared" si="253"/>
        <v>0</v>
      </c>
      <c r="BK174" s="76">
        <f t="shared" si="253"/>
        <v>0</v>
      </c>
      <c r="BL174" s="76">
        <f>Z174+AB174+AC174</f>
        <v>0</v>
      </c>
      <c r="BM174" s="76">
        <f t="shared" si="254"/>
        <v>0</v>
      </c>
      <c r="BN174" s="76"/>
      <c r="BO174" s="76">
        <f t="shared" si="255"/>
        <v>0</v>
      </c>
      <c r="BP174" s="92">
        <f>BJ174+BK174+BL174+BM174+BO174</f>
        <v>0</v>
      </c>
    </row>
    <row r="175" spans="1:68" ht="143.25" customHeight="1" collapsed="1">
      <c r="A175" s="375" t="s">
        <v>359</v>
      </c>
      <c r="B175" s="9"/>
      <c r="C175" s="9" t="s">
        <v>196</v>
      </c>
      <c r="D175" s="157"/>
      <c r="E175" s="25">
        <v>8652</v>
      </c>
      <c r="F175" s="830"/>
      <c r="G175" s="8">
        <f t="shared" si="249"/>
        <v>95.364999999999995</v>
      </c>
      <c r="H175" s="8">
        <f t="shared" si="233"/>
        <v>0</v>
      </c>
      <c r="I175" s="8">
        <f>G175+H175</f>
        <v>95.364999999999995</v>
      </c>
      <c r="J175" s="451">
        <f t="shared" si="243"/>
        <v>0.97599999999999998</v>
      </c>
      <c r="K175" s="8">
        <f t="shared" si="214"/>
        <v>0</v>
      </c>
      <c r="L175" s="8">
        <f t="shared" si="215"/>
        <v>0</v>
      </c>
      <c r="M175" s="8">
        <f t="shared" si="216"/>
        <v>0</v>
      </c>
      <c r="N175" s="11">
        <f t="shared" si="217"/>
        <v>0</v>
      </c>
      <c r="O175" s="11">
        <f t="shared" si="244"/>
        <v>1.54</v>
      </c>
      <c r="P175" s="453">
        <f>ROUND(AK175/E175,3)</f>
        <v>0</v>
      </c>
      <c r="Q175" s="8">
        <f>P175+O175+N175+M175+L175+K175+J175+I175</f>
        <v>97.881</v>
      </c>
      <c r="R175" s="8">
        <f>ROUND((Z175+AB175+AC175+AA175)/E175,2)</f>
        <v>0</v>
      </c>
      <c r="S175" s="8">
        <f t="shared" si="220"/>
        <v>0</v>
      </c>
      <c r="T175" s="627">
        <f t="shared" si="242"/>
        <v>97.881</v>
      </c>
      <c r="U175" s="830"/>
      <c r="V175" s="15">
        <v>633714.64</v>
      </c>
      <c r="W175" s="15">
        <v>191381.36</v>
      </c>
      <c r="X175" s="15"/>
      <c r="Y175" s="15"/>
      <c r="Z175" s="15"/>
      <c r="AA175" s="15"/>
      <c r="AB175" s="15"/>
      <c r="AC175" s="15"/>
      <c r="AD175" s="15">
        <v>2534.3000000000002</v>
      </c>
      <c r="AE175" s="15"/>
      <c r="AF175" s="15">
        <v>2221.3000000000002</v>
      </c>
      <c r="AG175" s="15"/>
      <c r="AH175" s="15"/>
      <c r="AI175" s="15"/>
      <c r="AJ175" s="15">
        <v>3688.4</v>
      </c>
      <c r="AK175" s="15"/>
      <c r="AL175" s="15">
        <f>AD175+AF175+AG175+AI175+AJ175+AK175</f>
        <v>8444</v>
      </c>
      <c r="AM175" s="15"/>
      <c r="AN175" s="15"/>
      <c r="AO175" s="15"/>
      <c r="AP175" s="15"/>
      <c r="AQ175" s="15"/>
      <c r="AR175" s="828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224">
        <v>13337</v>
      </c>
      <c r="BG175" s="15"/>
      <c r="BH175" s="15">
        <f t="shared" si="252"/>
        <v>846877</v>
      </c>
      <c r="BI175" s="447">
        <f t="shared" si="226"/>
        <v>97.88</v>
      </c>
      <c r="BJ175" s="581">
        <f t="shared" si="253"/>
        <v>633714.64</v>
      </c>
      <c r="BK175" s="76">
        <f t="shared" si="253"/>
        <v>191381.36</v>
      </c>
      <c r="BL175" s="76">
        <f>Z175+AB175+AC175+AA175</f>
        <v>0</v>
      </c>
      <c r="BM175" s="76">
        <f t="shared" si="254"/>
        <v>13337</v>
      </c>
      <c r="BN175" s="76"/>
      <c r="BO175" s="76">
        <f t="shared" si="255"/>
        <v>8444</v>
      </c>
      <c r="BP175" s="92">
        <f>SUM(BJ175:BO175)</f>
        <v>846877</v>
      </c>
    </row>
    <row r="176" spans="1:68" ht="30" customHeight="1">
      <c r="A176" s="109" t="s">
        <v>67</v>
      </c>
      <c r="B176" s="29"/>
      <c r="C176" s="29" t="s">
        <v>252</v>
      </c>
      <c r="D176" s="158"/>
      <c r="E176" s="32">
        <f>E175</f>
        <v>8652</v>
      </c>
      <c r="F176" s="159"/>
      <c r="G176" s="30">
        <f>ROUND((V176+W176)/E176,2)</f>
        <v>95.36</v>
      </c>
      <c r="H176" s="30">
        <f t="shared" si="233"/>
        <v>0</v>
      </c>
      <c r="I176" s="30">
        <f t="shared" si="250"/>
        <v>95.36</v>
      </c>
      <c r="J176" s="30">
        <f>ROUND((AL176-AK176)/E176,2)</f>
        <v>0.98</v>
      </c>
      <c r="K176" s="30">
        <f t="shared" si="214"/>
        <v>0</v>
      </c>
      <c r="L176" s="30">
        <f t="shared" si="215"/>
        <v>0</v>
      </c>
      <c r="M176" s="30">
        <f t="shared" si="216"/>
        <v>0</v>
      </c>
      <c r="N176" s="33">
        <f t="shared" si="217"/>
        <v>0</v>
      </c>
      <c r="O176" s="33">
        <f t="shared" si="244"/>
        <v>1.54</v>
      </c>
      <c r="P176" s="33">
        <f>ROUND(AK176/E176,3)</f>
        <v>0</v>
      </c>
      <c r="Q176" s="30">
        <f t="shared" si="251"/>
        <v>97.88</v>
      </c>
      <c r="R176" s="30">
        <f>ROUND((Z176+AB176+AC176)/E176,2)</f>
        <v>0</v>
      </c>
      <c r="S176" s="30">
        <f t="shared" si="220"/>
        <v>0</v>
      </c>
      <c r="T176" s="627">
        <f t="shared" si="242"/>
        <v>97.88</v>
      </c>
      <c r="U176" s="159"/>
      <c r="V176" s="24">
        <f>V175</f>
        <v>633714.64</v>
      </c>
      <c r="W176" s="24">
        <f>W175</f>
        <v>191381.36</v>
      </c>
      <c r="X176" s="24">
        <f t="shared" ref="X176:AQ176" si="256">X170+X171+X172+X173+X174+X175</f>
        <v>0</v>
      </c>
      <c r="Y176" s="24">
        <f t="shared" si="256"/>
        <v>0</v>
      </c>
      <c r="Z176" s="24">
        <f t="shared" si="256"/>
        <v>0</v>
      </c>
      <c r="AA176" s="24">
        <f t="shared" si="256"/>
        <v>0</v>
      </c>
      <c r="AB176" s="24">
        <f t="shared" si="256"/>
        <v>0</v>
      </c>
      <c r="AC176" s="24">
        <f t="shared" si="256"/>
        <v>0</v>
      </c>
      <c r="AD176" s="24">
        <f t="shared" si="256"/>
        <v>2534.3000000000002</v>
      </c>
      <c r="AE176" s="24">
        <f t="shared" si="256"/>
        <v>0</v>
      </c>
      <c r="AF176" s="24">
        <f t="shared" si="256"/>
        <v>2221.3000000000002</v>
      </c>
      <c r="AG176" s="24">
        <f t="shared" si="256"/>
        <v>0</v>
      </c>
      <c r="AH176" s="24">
        <f t="shared" si="256"/>
        <v>0</v>
      </c>
      <c r="AI176" s="24">
        <f t="shared" si="256"/>
        <v>0</v>
      </c>
      <c r="AJ176" s="24">
        <f t="shared" si="256"/>
        <v>3688.4</v>
      </c>
      <c r="AK176" s="24">
        <f t="shared" si="256"/>
        <v>0</v>
      </c>
      <c r="AL176" s="24">
        <f t="shared" si="256"/>
        <v>8444</v>
      </c>
      <c r="AM176" s="24">
        <f t="shared" si="256"/>
        <v>0</v>
      </c>
      <c r="AN176" s="24">
        <f t="shared" si="256"/>
        <v>0</v>
      </c>
      <c r="AO176" s="24">
        <f t="shared" si="256"/>
        <v>0</v>
      </c>
      <c r="AP176" s="24">
        <f t="shared" si="256"/>
        <v>0</v>
      </c>
      <c r="AQ176" s="24">
        <f t="shared" si="256"/>
        <v>0</v>
      </c>
      <c r="AR176" s="307"/>
      <c r="AS176" s="24">
        <f t="shared" ref="AS176:BH176" si="257">AS170+AS171+AS172+AS173+AS174+AS175</f>
        <v>0</v>
      </c>
      <c r="AT176" s="24">
        <f t="shared" si="257"/>
        <v>0</v>
      </c>
      <c r="AU176" s="24">
        <f t="shared" si="257"/>
        <v>0</v>
      </c>
      <c r="AV176" s="24">
        <f t="shared" si="257"/>
        <v>0</v>
      </c>
      <c r="AW176" s="24">
        <f t="shared" si="257"/>
        <v>0</v>
      </c>
      <c r="AX176" s="24">
        <f t="shared" si="257"/>
        <v>0</v>
      </c>
      <c r="AY176" s="24">
        <f t="shared" si="257"/>
        <v>0</v>
      </c>
      <c r="AZ176" s="24">
        <f t="shared" si="257"/>
        <v>0</v>
      </c>
      <c r="BA176" s="24">
        <f t="shared" si="257"/>
        <v>0</v>
      </c>
      <c r="BB176" s="24">
        <f t="shared" si="257"/>
        <v>0</v>
      </c>
      <c r="BC176" s="24">
        <f t="shared" si="257"/>
        <v>0</v>
      </c>
      <c r="BD176" s="24">
        <f t="shared" si="257"/>
        <v>0</v>
      </c>
      <c r="BE176" s="24">
        <f t="shared" si="257"/>
        <v>0</v>
      </c>
      <c r="BF176" s="24">
        <f t="shared" si="257"/>
        <v>13337</v>
      </c>
      <c r="BG176" s="24">
        <f t="shared" si="257"/>
        <v>0</v>
      </c>
      <c r="BH176" s="24">
        <f t="shared" si="257"/>
        <v>846877</v>
      </c>
      <c r="BI176" s="447">
        <f t="shared" si="226"/>
        <v>97.88</v>
      </c>
      <c r="BJ176" s="24">
        <f t="shared" ref="BJ176:BP176" si="258">BJ170+BJ171+BJ172+BJ173+BJ174+BJ175</f>
        <v>633714.64</v>
      </c>
      <c r="BK176" s="24">
        <f t="shared" si="258"/>
        <v>191381.36</v>
      </c>
      <c r="BL176" s="24">
        <f t="shared" si="258"/>
        <v>0</v>
      </c>
      <c r="BM176" s="24">
        <f t="shared" si="258"/>
        <v>13337</v>
      </c>
      <c r="BN176" s="24">
        <v>0</v>
      </c>
      <c r="BO176" s="24">
        <f t="shared" si="258"/>
        <v>8444</v>
      </c>
      <c r="BP176" s="24">
        <f t="shared" si="258"/>
        <v>846877</v>
      </c>
    </row>
    <row r="177" spans="61:61">
      <c r="BI177" s="448"/>
    </row>
    <row r="178" spans="61:61">
      <c r="BI178" s="448"/>
    </row>
  </sheetData>
  <mergeCells count="239">
    <mergeCell ref="E5:E10"/>
    <mergeCell ref="B5:B10"/>
    <mergeCell ref="A5:A10"/>
    <mergeCell ref="C5:C10"/>
    <mergeCell ref="A31:A35"/>
    <mergeCell ref="A37:A41"/>
    <mergeCell ref="F170:F175"/>
    <mergeCell ref="F85:F89"/>
    <mergeCell ref="F127:F131"/>
    <mergeCell ref="F79:F83"/>
    <mergeCell ref="F91:F95"/>
    <mergeCell ref="F73:F77"/>
    <mergeCell ref="F103:F107"/>
    <mergeCell ref="D5:D10"/>
    <mergeCell ref="C170:C173"/>
    <mergeCell ref="C49:C52"/>
    <mergeCell ref="C55:C58"/>
    <mergeCell ref="B19:B22"/>
    <mergeCell ref="C19:C22"/>
    <mergeCell ref="B109:B112"/>
    <mergeCell ref="C109:C112"/>
    <mergeCell ref="C61:C64"/>
    <mergeCell ref="C43:C46"/>
    <mergeCell ref="A103:A107"/>
    <mergeCell ref="A170:A174"/>
    <mergeCell ref="B170:B173"/>
    <mergeCell ref="F67:F71"/>
    <mergeCell ref="K7:K10"/>
    <mergeCell ref="F55:F59"/>
    <mergeCell ref="G8:I8"/>
    <mergeCell ref="F37:F41"/>
    <mergeCell ref="F31:F35"/>
    <mergeCell ref="L7:L10"/>
    <mergeCell ref="B11:B15"/>
    <mergeCell ref="C11:C15"/>
    <mergeCell ref="C31:C34"/>
    <mergeCell ref="C25:C28"/>
    <mergeCell ref="B37:B40"/>
    <mergeCell ref="B31:B34"/>
    <mergeCell ref="C37:C40"/>
    <mergeCell ref="A61:A65"/>
    <mergeCell ref="B25:B28"/>
    <mergeCell ref="B61:B64"/>
    <mergeCell ref="A49:A53"/>
    <mergeCell ref="A25:A29"/>
    <mergeCell ref="B49:B52"/>
    <mergeCell ref="B43:B46"/>
    <mergeCell ref="A55:A59"/>
    <mergeCell ref="F25:F29"/>
    <mergeCell ref="F43:F47"/>
    <mergeCell ref="F19:F23"/>
    <mergeCell ref="BP7:BP10"/>
    <mergeCell ref="BJ5:BP5"/>
    <mergeCell ref="BJ6:BP6"/>
    <mergeCell ref="BJ7:BJ10"/>
    <mergeCell ref="BK7:BK10"/>
    <mergeCell ref="BL7:BL10"/>
    <mergeCell ref="BM7:BM10"/>
    <mergeCell ref="I9:I10"/>
    <mergeCell ref="F5:F10"/>
    <mergeCell ref="F11:F17"/>
    <mergeCell ref="J7:J10"/>
    <mergeCell ref="P7:P10"/>
    <mergeCell ref="O7:O10"/>
    <mergeCell ref="AU9:AW9"/>
    <mergeCell ref="AD8:AL9"/>
    <mergeCell ref="R7:R10"/>
    <mergeCell ref="S7:S10"/>
    <mergeCell ref="W8:W10"/>
    <mergeCell ref="BK1:BO1"/>
    <mergeCell ref="AJ1:AM1"/>
    <mergeCell ref="G9:G10"/>
    <mergeCell ref="H9:H10"/>
    <mergeCell ref="U5:U10"/>
    <mergeCell ref="G5:P5"/>
    <mergeCell ref="AX9:AX10"/>
    <mergeCell ref="BD9:BD10"/>
    <mergeCell ref="Z6:AQ6"/>
    <mergeCell ref="Z8:AC9"/>
    <mergeCell ref="C3:V3"/>
    <mergeCell ref="BI6:BI10"/>
    <mergeCell ref="BF6:BF10"/>
    <mergeCell ref="BG6:BG10"/>
    <mergeCell ref="V5:BI5"/>
    <mergeCell ref="BH6:BH10"/>
    <mergeCell ref="AY9:AY10"/>
    <mergeCell ref="AD7:AL7"/>
    <mergeCell ref="BO7:BO10"/>
    <mergeCell ref="BN7:BN10"/>
    <mergeCell ref="AM7:AQ7"/>
    <mergeCell ref="M7:M10"/>
    <mergeCell ref="N7:N10"/>
    <mergeCell ref="G7:I7"/>
    <mergeCell ref="BE6:BE10"/>
    <mergeCell ref="AS7:AY7"/>
    <mergeCell ref="AS9:AS10"/>
    <mergeCell ref="AT9:AT10"/>
    <mergeCell ref="AZ6:BD6"/>
    <mergeCell ref="BD7:BD8"/>
    <mergeCell ref="AS6:AY6"/>
    <mergeCell ref="G6:P6"/>
    <mergeCell ref="BB8:BC8"/>
    <mergeCell ref="V7:Y7"/>
    <mergeCell ref="Q5:Q10"/>
    <mergeCell ref="V8:V10"/>
    <mergeCell ref="Z7:AC7"/>
    <mergeCell ref="AZ7:BC7"/>
    <mergeCell ref="BB9:BC10"/>
    <mergeCell ref="AZ9:AZ10"/>
    <mergeCell ref="R5:S6"/>
    <mergeCell ref="T5:T10"/>
    <mergeCell ref="V6:Y6"/>
    <mergeCell ref="AM8:AQ9"/>
    <mergeCell ref="Y8:Y10"/>
    <mergeCell ref="X8:X10"/>
    <mergeCell ref="AR6:AR10"/>
    <mergeCell ref="C115:C118"/>
    <mergeCell ref="A79:A83"/>
    <mergeCell ref="B91:B94"/>
    <mergeCell ref="C91:C94"/>
    <mergeCell ref="A85:A89"/>
    <mergeCell ref="B79:B82"/>
    <mergeCell ref="C79:C82"/>
    <mergeCell ref="C103:C106"/>
    <mergeCell ref="A97:A101"/>
    <mergeCell ref="A19:A23"/>
    <mergeCell ref="B85:B88"/>
    <mergeCell ref="C85:C88"/>
    <mergeCell ref="A91:A95"/>
    <mergeCell ref="B67:B70"/>
    <mergeCell ref="C67:C70"/>
    <mergeCell ref="A67:A71"/>
    <mergeCell ref="A73:A77"/>
    <mergeCell ref="B73:B76"/>
    <mergeCell ref="C73:C76"/>
    <mergeCell ref="A43:A47"/>
    <mergeCell ref="B55:B58"/>
    <mergeCell ref="B97:B100"/>
    <mergeCell ref="A109:A113"/>
    <mergeCell ref="A115:A119"/>
    <mergeCell ref="B103:B106"/>
    <mergeCell ref="A163:A168"/>
    <mergeCell ref="A121:A125"/>
    <mergeCell ref="A133:A137"/>
    <mergeCell ref="A127:A131"/>
    <mergeCell ref="A145:A149"/>
    <mergeCell ref="B139:B142"/>
    <mergeCell ref="A151:A155"/>
    <mergeCell ref="B151:B154"/>
    <mergeCell ref="F163:F168"/>
    <mergeCell ref="U145:U149"/>
    <mergeCell ref="AR139:AR143"/>
    <mergeCell ref="AR121:AR125"/>
    <mergeCell ref="F121:F125"/>
    <mergeCell ref="U121:U125"/>
    <mergeCell ref="AR133:AR137"/>
    <mergeCell ref="B133:B136"/>
    <mergeCell ref="A157:A161"/>
    <mergeCell ref="C151:C154"/>
    <mergeCell ref="U127:U131"/>
    <mergeCell ref="F139:F143"/>
    <mergeCell ref="C121:C124"/>
    <mergeCell ref="C133:C136"/>
    <mergeCell ref="C145:C148"/>
    <mergeCell ref="B121:B124"/>
    <mergeCell ref="B145:B148"/>
    <mergeCell ref="A139:A143"/>
    <mergeCell ref="AR73:AR77"/>
    <mergeCell ref="AR79:AR83"/>
    <mergeCell ref="AR85:AR89"/>
    <mergeCell ref="AR97:AR101"/>
    <mergeCell ref="U97:U101"/>
    <mergeCell ref="F97:F101"/>
    <mergeCell ref="B163:B167"/>
    <mergeCell ref="C163:C167"/>
    <mergeCell ref="C139:C142"/>
    <mergeCell ref="AR163:AR168"/>
    <mergeCell ref="U85:U89"/>
    <mergeCell ref="U139:U143"/>
    <mergeCell ref="F133:F137"/>
    <mergeCell ref="U133:U137"/>
    <mergeCell ref="AR157:AR161"/>
    <mergeCell ref="B157:B160"/>
    <mergeCell ref="B127:B130"/>
    <mergeCell ref="C127:C130"/>
    <mergeCell ref="F109:F113"/>
    <mergeCell ref="U109:U113"/>
    <mergeCell ref="F115:F119"/>
    <mergeCell ref="B115:B118"/>
    <mergeCell ref="U115:U119"/>
    <mergeCell ref="U163:U168"/>
    <mergeCell ref="U170:U175"/>
    <mergeCell ref="AR170:AR175"/>
    <mergeCell ref="A11:A16"/>
    <mergeCell ref="AR91:AR95"/>
    <mergeCell ref="U61:U65"/>
    <mergeCell ref="U67:U71"/>
    <mergeCell ref="U73:U77"/>
    <mergeCell ref="U79:U83"/>
    <mergeCell ref="AR103:AR107"/>
    <mergeCell ref="AR109:AR113"/>
    <mergeCell ref="AR61:AR65"/>
    <mergeCell ref="F151:F155"/>
    <mergeCell ref="U151:U155"/>
    <mergeCell ref="AR151:AR155"/>
    <mergeCell ref="AR145:AR149"/>
    <mergeCell ref="F145:F149"/>
    <mergeCell ref="U91:U95"/>
    <mergeCell ref="U103:U107"/>
    <mergeCell ref="AR115:AR119"/>
    <mergeCell ref="AR127:AR131"/>
    <mergeCell ref="C157:C160"/>
    <mergeCell ref="F157:F161"/>
    <mergeCell ref="U157:U161"/>
    <mergeCell ref="C97:C100"/>
    <mergeCell ref="BQ9:BS9"/>
    <mergeCell ref="C2:T2"/>
    <mergeCell ref="AR67:AR71"/>
    <mergeCell ref="F61:F65"/>
    <mergeCell ref="G1:T1"/>
    <mergeCell ref="F49:F53"/>
    <mergeCell ref="U55:U59"/>
    <mergeCell ref="U43:U47"/>
    <mergeCell ref="AR55:AR59"/>
    <mergeCell ref="AR49:AR53"/>
    <mergeCell ref="U11:U16"/>
    <mergeCell ref="AR11:AR16"/>
    <mergeCell ref="U31:U35"/>
    <mergeCell ref="AR25:AR29"/>
    <mergeCell ref="AR31:AR35"/>
    <mergeCell ref="AR37:AR41"/>
    <mergeCell ref="AR43:AR47"/>
    <mergeCell ref="U19:U23"/>
    <mergeCell ref="AR19:AR23"/>
    <mergeCell ref="U49:U53"/>
    <mergeCell ref="U37:U41"/>
    <mergeCell ref="U25:U29"/>
    <mergeCell ref="BA9:BA10"/>
    <mergeCell ref="AS8:AW8"/>
  </mergeCells>
  <phoneticPr fontId="2" type="noConversion"/>
  <pageMargins left="0.19685039370078741" right="0" top="0.19685039370078741" bottom="7.874015748031496E-2" header="0.35433070866141736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CF78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C68" sqref="C68"/>
    </sheetView>
  </sheetViews>
  <sheetFormatPr defaultRowHeight="12.75" outlineLevelRow="1" outlineLevelCol="1"/>
  <cols>
    <col min="1" max="1" width="32.7109375" style="3" customWidth="1"/>
    <col min="2" max="2" width="20.140625" style="3" customWidth="1"/>
    <col min="3" max="3" width="15.7109375" style="3" customWidth="1"/>
    <col min="4" max="4" width="13.5703125" style="27" customWidth="1"/>
    <col min="5" max="5" width="9" style="79" customWidth="1"/>
    <col min="6" max="6" width="18.28515625" style="3" customWidth="1"/>
    <col min="7" max="7" width="12.42578125" style="79" customWidth="1"/>
    <col min="8" max="8" width="11" style="79" customWidth="1"/>
    <col min="9" max="9" width="13.7109375" style="79" customWidth="1"/>
    <col min="10" max="10" width="8.85546875" style="79" customWidth="1"/>
    <col min="11" max="11" width="9.42578125" style="79" customWidth="1"/>
    <col min="12" max="12" width="8.85546875" style="79" customWidth="1"/>
    <col min="13" max="13" width="9" style="79" customWidth="1"/>
    <col min="14" max="14" width="8.42578125" style="79" customWidth="1"/>
    <col min="15" max="15" width="8.7109375" style="79" customWidth="1"/>
    <col min="16" max="16" width="10" style="79" customWidth="1"/>
    <col min="17" max="17" width="13.7109375" style="79" customWidth="1"/>
    <col min="18" max="18" width="10.85546875" style="79" customWidth="1"/>
    <col min="19" max="19" width="8.7109375" style="79" customWidth="1"/>
    <col min="20" max="20" width="13.5703125" style="173" customWidth="1"/>
    <col min="21" max="21" width="16.7109375" style="173" customWidth="1"/>
    <col min="22" max="22" width="15.5703125" style="173" customWidth="1"/>
    <col min="23" max="23" width="14.140625" style="173" customWidth="1"/>
    <col min="24" max="25" width="14.7109375" style="173" customWidth="1"/>
    <col min="26" max="26" width="14.85546875" style="173" customWidth="1"/>
    <col min="27" max="27" width="14.140625" style="173" customWidth="1"/>
    <col min="28" max="28" width="9" style="173" customWidth="1"/>
    <col min="29" max="29" width="12.42578125" style="173" customWidth="1"/>
    <col min="30" max="30" width="12.85546875" style="173" customWidth="1"/>
    <col min="31" max="31" width="7.42578125" style="173" customWidth="1"/>
    <col min="32" max="32" width="10.7109375" style="173" customWidth="1"/>
    <col min="33" max="33" width="11.42578125" style="173" customWidth="1"/>
    <col min="34" max="34" width="7.85546875" style="173" customWidth="1"/>
    <col min="35" max="35" width="11.140625" style="173" customWidth="1"/>
    <col min="36" max="36" width="10.42578125" style="173" customWidth="1"/>
    <col min="37" max="37" width="10.7109375" style="173" customWidth="1"/>
    <col min="38" max="38" width="13.42578125" style="173" customWidth="1"/>
    <col min="39" max="39" width="11.5703125" style="173" customWidth="1"/>
    <col min="40" max="40" width="6.42578125" style="173" customWidth="1"/>
    <col min="41" max="41" width="0.28515625" style="173" hidden="1" customWidth="1"/>
    <col min="42" max="42" width="9.85546875" style="173" customWidth="1"/>
    <col min="43" max="43" width="11.5703125" style="173" customWidth="1"/>
    <col min="44" max="44" width="21.42578125" style="79" customWidth="1"/>
    <col min="45" max="45" width="10.85546875" style="173" customWidth="1"/>
    <col min="46" max="46" width="11.7109375" style="173" customWidth="1"/>
    <col min="47" max="47" width="13.42578125" style="173" customWidth="1"/>
    <col min="48" max="48" width="13.140625" style="173" customWidth="1"/>
    <col min="49" max="49" width="9.5703125" style="173" customWidth="1"/>
    <col min="50" max="50" width="12.28515625" style="173" customWidth="1"/>
    <col min="51" max="51" width="8.140625" style="173" hidden="1" customWidth="1" outlineLevel="1"/>
    <col min="52" max="52" width="12.7109375" style="173" customWidth="1" collapsed="1"/>
    <col min="53" max="53" width="11" style="18" customWidth="1"/>
    <col min="54" max="54" width="9.28515625" style="18" hidden="1" customWidth="1" outlineLevel="1"/>
    <col min="55" max="55" width="9.42578125" style="18" hidden="1" customWidth="1" outlineLevel="1"/>
    <col min="56" max="56" width="7.42578125" style="18" customWidth="1" collapsed="1"/>
    <col min="57" max="57" width="6.5703125" style="18" hidden="1" customWidth="1" outlineLevel="1"/>
    <col min="58" max="58" width="14.140625" style="18" customWidth="1" collapsed="1"/>
    <col min="59" max="59" width="6.140625" style="18" hidden="1" customWidth="1" outlineLevel="1"/>
    <col min="60" max="60" width="16" style="18" customWidth="1" collapsed="1"/>
    <col min="61" max="61" width="9.140625" style="245" hidden="1" customWidth="1"/>
    <col min="62" max="62" width="13.5703125" style="245" hidden="1" customWidth="1"/>
    <col min="63" max="63" width="13.140625" style="245" customWidth="1"/>
    <col min="64" max="64" width="16.7109375" style="112" customWidth="1"/>
    <col min="65" max="65" width="14.42578125" style="112" customWidth="1"/>
    <col min="66" max="66" width="15.140625" style="112" customWidth="1"/>
    <col min="67" max="67" width="14.28515625" style="112" customWidth="1"/>
    <col min="68" max="68" width="12.140625" style="112" customWidth="1"/>
    <col min="69" max="69" width="15" style="112" customWidth="1"/>
    <col min="70" max="70" width="14.140625" hidden="1" customWidth="1"/>
    <col min="71" max="71" width="14" hidden="1" customWidth="1"/>
    <col min="72" max="76" width="13.5703125" hidden="1" customWidth="1"/>
    <col min="77" max="77" width="13.5703125" bestFit="1" customWidth="1"/>
    <col min="78" max="79" width="12.42578125" bestFit="1" customWidth="1"/>
    <col min="80" max="81" width="10.85546875" bestFit="1" customWidth="1"/>
    <col min="82" max="82" width="15.42578125" customWidth="1"/>
  </cols>
  <sheetData>
    <row r="1" spans="1:78" ht="37.5" customHeight="1">
      <c r="F1" s="886" t="s">
        <v>412</v>
      </c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X1" s="563"/>
      <c r="Y1" s="583"/>
      <c r="Z1" s="584"/>
      <c r="AA1" s="583"/>
    </row>
    <row r="2" spans="1:78" ht="21" customHeight="1">
      <c r="C2" s="825" t="s">
        <v>336</v>
      </c>
      <c r="D2" s="825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79"/>
      <c r="X2" s="563"/>
      <c r="BL2" s="1"/>
      <c r="BM2" s="1"/>
      <c r="BN2" s="1"/>
      <c r="BO2" s="1"/>
      <c r="BP2" s="1"/>
      <c r="BQ2" s="1"/>
    </row>
    <row r="3" spans="1:78" ht="18.75" customHeight="1">
      <c r="A3" s="711" t="s">
        <v>0</v>
      </c>
      <c r="B3" s="711" t="s">
        <v>195</v>
      </c>
      <c r="C3" s="711" t="s">
        <v>2</v>
      </c>
      <c r="D3" s="711" t="s">
        <v>199</v>
      </c>
      <c r="E3" s="711" t="s">
        <v>1</v>
      </c>
      <c r="F3" s="731" t="s">
        <v>68</v>
      </c>
      <c r="G3" s="722" t="s">
        <v>61</v>
      </c>
      <c r="H3" s="723"/>
      <c r="I3" s="723"/>
      <c r="J3" s="723"/>
      <c r="K3" s="723"/>
      <c r="L3" s="723"/>
      <c r="M3" s="723"/>
      <c r="N3" s="723"/>
      <c r="O3" s="723"/>
      <c r="P3" s="723"/>
      <c r="Q3" s="680" t="s">
        <v>55</v>
      </c>
      <c r="R3" s="680" t="s">
        <v>56</v>
      </c>
      <c r="S3" s="815"/>
      <c r="T3" s="892" t="s">
        <v>54</v>
      </c>
      <c r="U3" s="731" t="s">
        <v>68</v>
      </c>
      <c r="V3" s="816" t="s">
        <v>60</v>
      </c>
      <c r="W3" s="816"/>
      <c r="X3" s="816"/>
      <c r="Y3" s="817"/>
      <c r="Z3" s="817"/>
      <c r="AA3" s="817"/>
      <c r="AB3" s="817"/>
      <c r="AC3" s="817"/>
      <c r="AD3" s="817"/>
      <c r="AE3" s="817"/>
      <c r="AF3" s="817"/>
      <c r="AG3" s="817"/>
      <c r="AH3" s="817"/>
      <c r="AI3" s="817"/>
      <c r="AJ3" s="817"/>
      <c r="AK3" s="817"/>
      <c r="AL3" s="817"/>
      <c r="AM3" s="817"/>
      <c r="AN3" s="817"/>
      <c r="AO3" s="817"/>
      <c r="AP3" s="817"/>
      <c r="AQ3" s="817"/>
      <c r="AR3" s="817"/>
      <c r="AS3" s="817"/>
      <c r="AT3" s="817"/>
      <c r="AU3" s="817"/>
      <c r="AV3" s="817"/>
      <c r="AW3" s="817"/>
      <c r="AX3" s="817"/>
      <c r="AY3" s="817"/>
      <c r="AZ3" s="817"/>
      <c r="BA3" s="817"/>
      <c r="BB3" s="817"/>
      <c r="BC3" s="817"/>
      <c r="BD3" s="817"/>
      <c r="BE3" s="817"/>
      <c r="BF3" s="817"/>
      <c r="BG3" s="817"/>
      <c r="BH3" s="817"/>
      <c r="BI3" s="817"/>
      <c r="BJ3" s="817"/>
      <c r="BK3" s="817"/>
      <c r="BL3" s="815"/>
      <c r="BM3" s="815"/>
      <c r="BN3" s="815"/>
      <c r="BO3" s="815"/>
      <c r="BP3" s="815"/>
      <c r="BQ3" s="815"/>
    </row>
    <row r="4" spans="1:78" s="1" customFormat="1" ht="45.75" customHeight="1">
      <c r="A4" s="712"/>
      <c r="B4" s="712"/>
      <c r="C4" s="712"/>
      <c r="D4" s="712"/>
      <c r="E4" s="815"/>
      <c r="F4" s="891"/>
      <c r="G4" s="680" t="s">
        <v>59</v>
      </c>
      <c r="H4" s="888"/>
      <c r="I4" s="888"/>
      <c r="J4" s="888"/>
      <c r="K4" s="888"/>
      <c r="L4" s="888"/>
      <c r="M4" s="888"/>
      <c r="N4" s="888"/>
      <c r="O4" s="888"/>
      <c r="P4" s="888"/>
      <c r="Q4" s="815"/>
      <c r="R4" s="815"/>
      <c r="S4" s="815"/>
      <c r="T4" s="893"/>
      <c r="U4" s="895"/>
      <c r="V4" s="676" t="s">
        <v>62</v>
      </c>
      <c r="W4" s="676"/>
      <c r="X4" s="676"/>
      <c r="Y4" s="896"/>
      <c r="Z4" s="688" t="s">
        <v>8</v>
      </c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88"/>
      <c r="AR4" s="731" t="s">
        <v>68</v>
      </c>
      <c r="AS4" s="688" t="s">
        <v>19</v>
      </c>
      <c r="AT4" s="688"/>
      <c r="AU4" s="688"/>
      <c r="AV4" s="688"/>
      <c r="AW4" s="688"/>
      <c r="AX4" s="688"/>
      <c r="AY4" s="688"/>
      <c r="AZ4" s="676" t="s">
        <v>19</v>
      </c>
      <c r="BA4" s="676"/>
      <c r="BB4" s="676"/>
      <c r="BC4" s="676"/>
      <c r="BD4" s="676"/>
      <c r="BE4" s="676" t="s">
        <v>20</v>
      </c>
      <c r="BF4" s="676" t="s">
        <v>13</v>
      </c>
      <c r="BG4" s="676" t="s">
        <v>21</v>
      </c>
      <c r="BH4" s="676" t="s">
        <v>22</v>
      </c>
      <c r="BI4" s="704" t="s">
        <v>23</v>
      </c>
      <c r="BJ4" s="704" t="s">
        <v>24</v>
      </c>
      <c r="BK4" s="898" t="s">
        <v>25</v>
      </c>
      <c r="BL4" s="815" t="s">
        <v>129</v>
      </c>
      <c r="BM4" s="815"/>
      <c r="BN4" s="815"/>
      <c r="BO4" s="815"/>
      <c r="BP4" s="815"/>
      <c r="BQ4" s="815"/>
    </row>
    <row r="5" spans="1:78" s="2" customFormat="1" ht="44.25" customHeight="1">
      <c r="A5" s="712"/>
      <c r="B5" s="712"/>
      <c r="C5" s="712"/>
      <c r="D5" s="712"/>
      <c r="E5" s="815"/>
      <c r="F5" s="891"/>
      <c r="G5" s="680" t="s">
        <v>53</v>
      </c>
      <c r="H5" s="888"/>
      <c r="I5" s="888"/>
      <c r="J5" s="680" t="s">
        <v>27</v>
      </c>
      <c r="K5" s="680" t="s">
        <v>10</v>
      </c>
      <c r="L5" s="680" t="s">
        <v>5</v>
      </c>
      <c r="M5" s="680" t="s">
        <v>51</v>
      </c>
      <c r="N5" s="680" t="s">
        <v>20</v>
      </c>
      <c r="O5" s="680" t="s">
        <v>13</v>
      </c>
      <c r="P5" s="680" t="s">
        <v>21</v>
      </c>
      <c r="Q5" s="815"/>
      <c r="R5" s="680" t="s">
        <v>16</v>
      </c>
      <c r="S5" s="680" t="s">
        <v>52</v>
      </c>
      <c r="T5" s="893"/>
      <c r="U5" s="895"/>
      <c r="V5" s="676" t="s">
        <v>66</v>
      </c>
      <c r="W5" s="896"/>
      <c r="X5" s="896"/>
      <c r="Y5" s="896"/>
      <c r="Z5" s="676" t="s">
        <v>63</v>
      </c>
      <c r="AA5" s="676"/>
      <c r="AB5" s="676"/>
      <c r="AC5" s="676"/>
      <c r="AD5" s="692">
        <v>340</v>
      </c>
      <c r="AE5" s="692"/>
      <c r="AF5" s="692"/>
      <c r="AG5" s="692"/>
      <c r="AH5" s="692"/>
      <c r="AI5" s="692"/>
      <c r="AJ5" s="692"/>
      <c r="AK5" s="692"/>
      <c r="AL5" s="692"/>
      <c r="AM5" s="676" t="s">
        <v>4</v>
      </c>
      <c r="AN5" s="676"/>
      <c r="AO5" s="676"/>
      <c r="AP5" s="676"/>
      <c r="AQ5" s="676"/>
      <c r="AR5" s="895"/>
      <c r="AS5" s="676" t="s">
        <v>5</v>
      </c>
      <c r="AT5" s="676"/>
      <c r="AU5" s="676"/>
      <c r="AV5" s="676"/>
      <c r="AW5" s="676"/>
      <c r="AX5" s="676"/>
      <c r="AY5" s="676"/>
      <c r="AZ5" s="676" t="s">
        <v>6</v>
      </c>
      <c r="BA5" s="897"/>
      <c r="BB5" s="896"/>
      <c r="BC5" s="896"/>
      <c r="BD5" s="676">
        <v>290</v>
      </c>
      <c r="BE5" s="676"/>
      <c r="BF5" s="676"/>
      <c r="BG5" s="676"/>
      <c r="BH5" s="676"/>
      <c r="BI5" s="704"/>
      <c r="BJ5" s="704"/>
      <c r="BK5" s="898"/>
      <c r="BL5" s="877">
        <v>2110</v>
      </c>
      <c r="BM5" s="877">
        <v>2130</v>
      </c>
      <c r="BN5" s="877">
        <v>2230</v>
      </c>
      <c r="BO5" s="877">
        <v>7500</v>
      </c>
      <c r="BP5" s="877">
        <v>7660</v>
      </c>
      <c r="BQ5" s="877" t="s">
        <v>130</v>
      </c>
    </row>
    <row r="6" spans="1:78" s="2" customFormat="1" ht="49.5" customHeight="1">
      <c r="A6" s="712"/>
      <c r="B6" s="712"/>
      <c r="C6" s="712"/>
      <c r="D6" s="712"/>
      <c r="E6" s="815"/>
      <c r="F6" s="891"/>
      <c r="G6" s="680" t="s">
        <v>26</v>
      </c>
      <c r="H6" s="680"/>
      <c r="I6" s="680"/>
      <c r="J6" s="888"/>
      <c r="K6" s="888"/>
      <c r="L6" s="888"/>
      <c r="M6" s="888"/>
      <c r="N6" s="888"/>
      <c r="O6" s="888"/>
      <c r="P6" s="888"/>
      <c r="Q6" s="815"/>
      <c r="R6" s="888"/>
      <c r="S6" s="888"/>
      <c r="T6" s="893"/>
      <c r="U6" s="895"/>
      <c r="V6" s="676" t="s">
        <v>3</v>
      </c>
      <c r="W6" s="676" t="s">
        <v>64</v>
      </c>
      <c r="X6" s="676" t="s">
        <v>12</v>
      </c>
      <c r="Y6" s="676" t="s">
        <v>65</v>
      </c>
      <c r="Z6" s="676" t="s">
        <v>16</v>
      </c>
      <c r="AA6" s="676"/>
      <c r="AB6" s="676"/>
      <c r="AC6" s="676"/>
      <c r="AD6" s="676" t="s">
        <v>27</v>
      </c>
      <c r="AE6" s="676"/>
      <c r="AF6" s="676"/>
      <c r="AG6" s="676"/>
      <c r="AH6" s="676"/>
      <c r="AI6" s="676"/>
      <c r="AJ6" s="676"/>
      <c r="AK6" s="676"/>
      <c r="AL6" s="676"/>
      <c r="AM6" s="676" t="s">
        <v>10</v>
      </c>
      <c r="AN6" s="676"/>
      <c r="AO6" s="676"/>
      <c r="AP6" s="676"/>
      <c r="AQ6" s="676"/>
      <c r="AR6" s="895"/>
      <c r="AS6" s="692">
        <v>225</v>
      </c>
      <c r="AT6" s="692"/>
      <c r="AU6" s="692"/>
      <c r="AV6" s="692"/>
      <c r="AW6" s="692"/>
      <c r="AX6" s="47">
        <v>290</v>
      </c>
      <c r="AY6" s="47">
        <v>224</v>
      </c>
      <c r="AZ6" s="20" t="s">
        <v>4</v>
      </c>
      <c r="BA6" s="20" t="s">
        <v>4</v>
      </c>
      <c r="BB6" s="676" t="s">
        <v>4</v>
      </c>
      <c r="BC6" s="676"/>
      <c r="BD6" s="676"/>
      <c r="BE6" s="676"/>
      <c r="BF6" s="676"/>
      <c r="BG6" s="676"/>
      <c r="BH6" s="676"/>
      <c r="BI6" s="704"/>
      <c r="BJ6" s="704"/>
      <c r="BK6" s="898"/>
      <c r="BL6" s="877"/>
      <c r="BM6" s="877"/>
      <c r="BN6" s="877"/>
      <c r="BO6" s="877"/>
      <c r="BP6" s="877"/>
      <c r="BQ6" s="877"/>
    </row>
    <row r="7" spans="1:78" s="2" customFormat="1" ht="34.5" customHeight="1">
      <c r="A7" s="712"/>
      <c r="B7" s="712"/>
      <c r="C7" s="712"/>
      <c r="D7" s="712"/>
      <c r="E7" s="815"/>
      <c r="F7" s="891"/>
      <c r="G7" s="680" t="s">
        <v>3</v>
      </c>
      <c r="H7" s="680" t="s">
        <v>12</v>
      </c>
      <c r="I7" s="680" t="s">
        <v>11</v>
      </c>
      <c r="J7" s="888"/>
      <c r="K7" s="888"/>
      <c r="L7" s="888"/>
      <c r="M7" s="888"/>
      <c r="N7" s="888"/>
      <c r="O7" s="888"/>
      <c r="P7" s="888"/>
      <c r="Q7" s="815"/>
      <c r="R7" s="888"/>
      <c r="S7" s="888"/>
      <c r="T7" s="893"/>
      <c r="U7" s="895"/>
      <c r="V7" s="896"/>
      <c r="W7" s="896"/>
      <c r="X7" s="896"/>
      <c r="Y7" s="89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6"/>
      <c r="AL7" s="676"/>
      <c r="AM7" s="676"/>
      <c r="AN7" s="676"/>
      <c r="AO7" s="676"/>
      <c r="AP7" s="676"/>
      <c r="AQ7" s="676"/>
      <c r="AR7" s="895"/>
      <c r="AS7" s="676" t="s">
        <v>127</v>
      </c>
      <c r="AT7" s="676" t="s">
        <v>137</v>
      </c>
      <c r="AU7" s="676" t="s">
        <v>138</v>
      </c>
      <c r="AV7" s="676"/>
      <c r="AW7" s="676"/>
      <c r="AX7" s="676" t="s">
        <v>31</v>
      </c>
      <c r="AY7" s="676" t="s">
        <v>124</v>
      </c>
      <c r="AZ7" s="676" t="s">
        <v>32</v>
      </c>
      <c r="BA7" s="676" t="s">
        <v>33</v>
      </c>
      <c r="BB7" s="676" t="s">
        <v>34</v>
      </c>
      <c r="BC7" s="676"/>
      <c r="BD7" s="676" t="s">
        <v>126</v>
      </c>
      <c r="BE7" s="676"/>
      <c r="BF7" s="676"/>
      <c r="BG7" s="676"/>
      <c r="BH7" s="676"/>
      <c r="BI7" s="704"/>
      <c r="BJ7" s="704"/>
      <c r="BK7" s="898"/>
      <c r="BL7" s="877"/>
      <c r="BM7" s="877"/>
      <c r="BN7" s="877"/>
      <c r="BO7" s="877"/>
      <c r="BP7" s="877"/>
      <c r="BQ7" s="877"/>
    </row>
    <row r="8" spans="1:78" s="2" customFormat="1" ht="48.75" customHeight="1">
      <c r="A8" s="712"/>
      <c r="B8" s="712"/>
      <c r="C8" s="712"/>
      <c r="D8" s="712"/>
      <c r="E8" s="815"/>
      <c r="F8" s="891"/>
      <c r="G8" s="680"/>
      <c r="H8" s="680"/>
      <c r="I8" s="680"/>
      <c r="J8" s="888"/>
      <c r="K8" s="888"/>
      <c r="L8" s="888"/>
      <c r="M8" s="888"/>
      <c r="N8" s="888"/>
      <c r="O8" s="888"/>
      <c r="P8" s="888"/>
      <c r="Q8" s="815"/>
      <c r="R8" s="888"/>
      <c r="S8" s="888"/>
      <c r="T8" s="893"/>
      <c r="U8" s="895"/>
      <c r="V8" s="896"/>
      <c r="W8" s="896"/>
      <c r="X8" s="896"/>
      <c r="Y8" s="896"/>
      <c r="Z8" s="20" t="s">
        <v>9</v>
      </c>
      <c r="AA8" s="20" t="s">
        <v>17</v>
      </c>
      <c r="AB8" s="20" t="s">
        <v>98</v>
      </c>
      <c r="AC8" s="20" t="s">
        <v>18</v>
      </c>
      <c r="AD8" s="20" t="s">
        <v>36</v>
      </c>
      <c r="AE8" s="20" t="s">
        <v>37</v>
      </c>
      <c r="AF8" s="20" t="s">
        <v>38</v>
      </c>
      <c r="AG8" s="20" t="s">
        <v>39</v>
      </c>
      <c r="AH8" s="20" t="s">
        <v>40</v>
      </c>
      <c r="AI8" s="20" t="s">
        <v>14</v>
      </c>
      <c r="AJ8" s="20" t="s">
        <v>41</v>
      </c>
      <c r="AK8" s="20" t="s">
        <v>15</v>
      </c>
      <c r="AL8" s="20" t="s">
        <v>42</v>
      </c>
      <c r="AM8" s="20" t="s">
        <v>43</v>
      </c>
      <c r="AN8" s="20" t="s">
        <v>44</v>
      </c>
      <c r="AO8" s="20" t="s">
        <v>293</v>
      </c>
      <c r="AP8" s="20" t="s">
        <v>46</v>
      </c>
      <c r="AQ8" s="20" t="s">
        <v>45</v>
      </c>
      <c r="AR8" s="895"/>
      <c r="AS8" s="676"/>
      <c r="AT8" s="676"/>
      <c r="AU8" s="20" t="s">
        <v>48</v>
      </c>
      <c r="AV8" s="20" t="s">
        <v>49</v>
      </c>
      <c r="AW8" s="20" t="s">
        <v>50</v>
      </c>
      <c r="AX8" s="676"/>
      <c r="AY8" s="676"/>
      <c r="AZ8" s="676"/>
      <c r="BA8" s="676"/>
      <c r="BB8" s="676"/>
      <c r="BC8" s="676"/>
      <c r="BD8" s="676"/>
      <c r="BE8" s="676"/>
      <c r="BF8" s="676"/>
      <c r="BG8" s="676"/>
      <c r="BH8" s="676"/>
      <c r="BI8" s="704"/>
      <c r="BJ8" s="704"/>
      <c r="BK8" s="898"/>
      <c r="BL8" s="877"/>
      <c r="BM8" s="877"/>
      <c r="BN8" s="877"/>
      <c r="BO8" s="877"/>
      <c r="BP8" s="877"/>
      <c r="BQ8" s="877"/>
    </row>
    <row r="9" spans="1:78" s="1" customFormat="1" ht="18.75" hidden="1" customHeight="1" outlineLevel="1">
      <c r="A9" s="648" t="s">
        <v>194</v>
      </c>
      <c r="B9" s="648" t="s">
        <v>197</v>
      </c>
      <c r="C9" s="648" t="s">
        <v>189</v>
      </c>
      <c r="D9" s="9" t="s">
        <v>190</v>
      </c>
      <c r="E9" s="10"/>
      <c r="F9" s="894" t="s">
        <v>221</v>
      </c>
      <c r="G9" s="202" t="e">
        <f t="shared" ref="G9:G52" si="0">ROUND((V9+W9)/E9,3)</f>
        <v>#DIV/0!</v>
      </c>
      <c r="H9" s="202" t="e">
        <f t="shared" ref="H9:H15" si="1">ROUND((X9+Y9)/E9,2)</f>
        <v>#DIV/0!</v>
      </c>
      <c r="I9" s="202" t="e">
        <f>G9+H9</f>
        <v>#DIV/0!</v>
      </c>
      <c r="J9" s="202" t="e">
        <f>ROUND(AL9/E9,3)</f>
        <v>#DIV/0!</v>
      </c>
      <c r="K9" s="202" t="e">
        <f>ROUND((AM9+AN9+AO9+AP9+AQ9)/E9,2)</f>
        <v>#DIV/0!</v>
      </c>
      <c r="L9" s="202" t="e">
        <f>ROUND((AS9+AT9+AU9+AV9+AW9)/E9,2)</f>
        <v>#DIV/0!</v>
      </c>
      <c r="M9" s="202" t="e">
        <f>ROUND((AZ9+BA9)/E9,2)</f>
        <v>#DIV/0!</v>
      </c>
      <c r="N9" s="203" t="e">
        <f t="shared" ref="N9:N40" si="2">ROUND(BE9/E9,2)</f>
        <v>#DIV/0!</v>
      </c>
      <c r="O9" s="203" t="e">
        <f>ROUND(BF9/E9,2)</f>
        <v>#DIV/0!</v>
      </c>
      <c r="P9" s="203" t="e">
        <f>ROUND(BG9/E9,2)</f>
        <v>#DIV/0!</v>
      </c>
      <c r="Q9" s="202" t="e">
        <f>P9+O9+N9+M9+L9+K9+J9+I9</f>
        <v>#DIV/0!</v>
      </c>
      <c r="R9" s="202" t="e">
        <f>ROUND((Z9+AA9+AC9)/E9,2)</f>
        <v>#DIV/0!</v>
      </c>
      <c r="S9" s="202" t="e">
        <f t="shared" ref="S9:S40" si="3">ROUND(AX9/E9,2)</f>
        <v>#DIV/0!</v>
      </c>
      <c r="T9" s="209" t="e">
        <f>Q9+R9+S9</f>
        <v>#DIV/0!</v>
      </c>
      <c r="U9" s="894" t="s">
        <v>221</v>
      </c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900" t="s">
        <v>221</v>
      </c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>
        <f>V9+W9+X9+Y9+Z9+AA9+AC9+AL9+AM9+AN9+AO9+AP9+AS9+AT9+AU9+AV9+AW9+AX9+AY9+AZ9+BA9+BB9+BC9+BD9+BE9+BF9+BG9+AQ9</f>
        <v>0</v>
      </c>
      <c r="BI9" s="205"/>
      <c r="BJ9" s="205"/>
      <c r="BK9" s="206" t="e">
        <f t="shared" ref="BK9:BK19" si="4">ROUND(BH9/E9,2)</f>
        <v>#DIV/0!</v>
      </c>
      <c r="BL9" s="211">
        <f t="shared" ref="BL9:BM13" si="5">V9+X9</f>
        <v>0</v>
      </c>
      <c r="BM9" s="211">
        <f t="shared" si="5"/>
        <v>0</v>
      </c>
      <c r="BN9" s="211">
        <f>Z9+AA9+AC9</f>
        <v>0</v>
      </c>
      <c r="BO9" s="211">
        <f>BF9</f>
        <v>0</v>
      </c>
      <c r="BP9" s="211">
        <f>BG9+AL9+AM9+AN9+AO9+AP9+AQ9+AS9+AT9+AU9+AV9+AW9+AX9+AY9+AZ9+BA9+BB9+BC9+BD9</f>
        <v>0</v>
      </c>
      <c r="BQ9" s="212">
        <f>BL9+BM9+BN9+BO9+BP9</f>
        <v>0</v>
      </c>
    </row>
    <row r="10" spans="1:78" s="1" customFormat="1" ht="21.75" hidden="1" customHeight="1" outlineLevel="1">
      <c r="A10" s="789"/>
      <c r="B10" s="660"/>
      <c r="C10" s="660"/>
      <c r="D10" s="9" t="s">
        <v>191</v>
      </c>
      <c r="E10" s="10"/>
      <c r="F10" s="894"/>
      <c r="G10" s="202" t="e">
        <f t="shared" si="0"/>
        <v>#DIV/0!</v>
      </c>
      <c r="H10" s="202" t="e">
        <f t="shared" si="1"/>
        <v>#DIV/0!</v>
      </c>
      <c r="I10" s="202" t="e">
        <f>G10+H10</f>
        <v>#DIV/0!</v>
      </c>
      <c r="J10" s="202" t="e">
        <f>ROUND(AL10/E10,3)</f>
        <v>#DIV/0!</v>
      </c>
      <c r="K10" s="202" t="e">
        <f>ROUND((AM10+AN10+AO10+AP10+AQ10)/E10,2)</f>
        <v>#DIV/0!</v>
      </c>
      <c r="L10" s="202" t="e">
        <f>ROUND((AS10+AT10+AU10+AV10+AW10)/E10,2)</f>
        <v>#DIV/0!</v>
      </c>
      <c r="M10" s="202" t="e">
        <f>ROUND((AZ10+BA10)/E10,2)</f>
        <v>#DIV/0!</v>
      </c>
      <c r="N10" s="203" t="e">
        <f t="shared" si="2"/>
        <v>#DIV/0!</v>
      </c>
      <c r="O10" s="203" t="e">
        <f>ROUND(BF10/E10,2)</f>
        <v>#DIV/0!</v>
      </c>
      <c r="P10" s="203" t="e">
        <f>ROUND(BG10/E10,2)</f>
        <v>#DIV/0!</v>
      </c>
      <c r="Q10" s="202" t="e">
        <f>P10+O10+N10+M10+L10+K10+J10+I10</f>
        <v>#DIV/0!</v>
      </c>
      <c r="R10" s="202" t="e">
        <f>ROUND((Z10+AA10+AC10)/E10,2)</f>
        <v>#DIV/0!</v>
      </c>
      <c r="S10" s="202" t="e">
        <f t="shared" si="3"/>
        <v>#DIV/0!</v>
      </c>
      <c r="T10" s="209" t="e">
        <f>Q10+R10+S10</f>
        <v>#DIV/0!</v>
      </c>
      <c r="U10" s="894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900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>
        <f>V10+W10+X10+Y10+Z10+AA10+AC10+AL10+AM10+AN10+AO10+AP10+AS10+AT10+AU10+AV10+AW10+AX10+AY10+AZ10+BA10+BB10+BC10+BD10+BE10+BF10+BG10+AQ10</f>
        <v>0</v>
      </c>
      <c r="BI10" s="205"/>
      <c r="BJ10" s="205"/>
      <c r="BK10" s="206" t="e">
        <f t="shared" si="4"/>
        <v>#DIV/0!</v>
      </c>
      <c r="BL10" s="211">
        <f t="shared" si="5"/>
        <v>0</v>
      </c>
      <c r="BM10" s="211">
        <f t="shared" si="5"/>
        <v>0</v>
      </c>
      <c r="BN10" s="211">
        <f>Z10+AA10+AC10</f>
        <v>0</v>
      </c>
      <c r="BO10" s="211">
        <f>BF10</f>
        <v>0</v>
      </c>
      <c r="BP10" s="211">
        <f>BG10+AL10+AM10+AN10+AO10+AP10+AQ10+AS10+AT10+AU10+AV10+AW10+AX10+AY10+AZ10+BA10+BB10+BC10+BD10</f>
        <v>0</v>
      </c>
      <c r="BQ10" s="212">
        <f>BL10+BM10+BN10+BO10+BP10</f>
        <v>0</v>
      </c>
    </row>
    <row r="11" spans="1:78" s="1" customFormat="1" ht="53.25" customHeight="1" collapsed="1">
      <c r="A11" s="789"/>
      <c r="B11" s="660"/>
      <c r="C11" s="660"/>
      <c r="D11" s="9" t="s">
        <v>192</v>
      </c>
      <c r="E11" s="10">
        <v>12200</v>
      </c>
      <c r="F11" s="894"/>
      <c r="G11" s="202">
        <f t="shared" si="0"/>
        <v>584.72500000000002</v>
      </c>
      <c r="H11" s="202">
        <f t="shared" si="1"/>
        <v>0</v>
      </c>
      <c r="I11" s="202">
        <f>G11+H11</f>
        <v>584.72500000000002</v>
      </c>
      <c r="J11" s="202">
        <f>ROUND((AL11-AK11)/E11,3)</f>
        <v>1.1459999999999999</v>
      </c>
      <c r="K11" s="202">
        <f>ROUND((AM11+AN11+AO11+AP11+AQ11)/E11,3)</f>
        <v>1.361</v>
      </c>
      <c r="L11" s="202">
        <f>ROUND((AS11+AT11+AU11+AV11+AW11)/E11,3)</f>
        <v>1.365</v>
      </c>
      <c r="M11" s="202">
        <f>ROUND((AZ11+BA11)/E11,3)</f>
        <v>13.933999999999999</v>
      </c>
      <c r="N11" s="203">
        <f t="shared" si="2"/>
        <v>0</v>
      </c>
      <c r="O11" s="203">
        <f>ROUND(BF11/E11,2)</f>
        <v>72.099999999999994</v>
      </c>
      <c r="P11" s="203">
        <f>ROUND(AK11/E11,3)</f>
        <v>0</v>
      </c>
      <c r="Q11" s="202">
        <f>P11+O11+N11+M11+L11+K11+J11+I11</f>
        <v>674.63099999999997</v>
      </c>
      <c r="R11" s="202">
        <f>ROUND((Z11+AA11+AC11)/E11,2)</f>
        <v>92.51</v>
      </c>
      <c r="S11" s="202">
        <f t="shared" si="3"/>
        <v>0</v>
      </c>
      <c r="T11" s="252">
        <f>Q11+R11+S11</f>
        <v>767.14099999999996</v>
      </c>
      <c r="U11" s="894"/>
      <c r="V11" s="205">
        <v>5407140.3700000001</v>
      </c>
      <c r="W11" s="205">
        <f>ROUND(V11*0.3193,0)</f>
        <v>1726500</v>
      </c>
      <c r="X11" s="205"/>
      <c r="Y11" s="205"/>
      <c r="Z11" s="205">
        <v>732374</v>
      </c>
      <c r="AA11" s="205">
        <v>303700</v>
      </c>
      <c r="AB11" s="205"/>
      <c r="AC11" s="205">
        <v>92509</v>
      </c>
      <c r="AD11" s="205">
        <v>9879</v>
      </c>
      <c r="AE11" s="205"/>
      <c r="AF11" s="205">
        <v>1000</v>
      </c>
      <c r="AG11" s="205">
        <v>1000</v>
      </c>
      <c r="AH11" s="205"/>
      <c r="AI11" s="205"/>
      <c r="AJ11" s="205">
        <v>2100</v>
      </c>
      <c r="AK11" s="205"/>
      <c r="AL11" s="205">
        <f>SUM(AD11:AK11)</f>
        <v>13979</v>
      </c>
      <c r="AM11" s="205">
        <v>10000</v>
      </c>
      <c r="AN11" s="205"/>
      <c r="AO11" s="205"/>
      <c r="AP11" s="205">
        <v>600</v>
      </c>
      <c r="AQ11" s="205">
        <v>6000</v>
      </c>
      <c r="AR11" s="900"/>
      <c r="AS11" s="205"/>
      <c r="AT11" s="205"/>
      <c r="AU11" s="205">
        <v>16651</v>
      </c>
      <c r="AV11" s="205"/>
      <c r="AW11" s="205"/>
      <c r="AX11" s="205"/>
      <c r="AY11" s="205"/>
      <c r="AZ11" s="205">
        <v>169994.3</v>
      </c>
      <c r="BA11" s="205"/>
      <c r="BB11" s="205"/>
      <c r="BC11" s="205"/>
      <c r="BD11" s="205"/>
      <c r="BE11" s="205"/>
      <c r="BF11" s="205">
        <v>879667</v>
      </c>
      <c r="BG11" s="205"/>
      <c r="BH11" s="205">
        <f>V11+W11+X11+Y11+Z11+AA11+AC11+AL11+AM11+AN11+AO11+AP11+AS11+AT11+AU11+AV11+AW11+AX11+AY11+AZ11+BA11+BB11+BC11+BD11+BE11+BF11+BG11+AQ11</f>
        <v>9359114.6699999999</v>
      </c>
      <c r="BI11" s="205"/>
      <c r="BJ11" s="205"/>
      <c r="BK11" s="206">
        <f t="shared" si="4"/>
        <v>767.14</v>
      </c>
      <c r="BL11" s="211">
        <f t="shared" si="5"/>
        <v>5407140.3700000001</v>
      </c>
      <c r="BM11" s="211">
        <f t="shared" si="5"/>
        <v>1726500</v>
      </c>
      <c r="BN11" s="211">
        <f>Z11+AA11+AC11</f>
        <v>1128583</v>
      </c>
      <c r="BO11" s="211">
        <f>BF11</f>
        <v>879667</v>
      </c>
      <c r="BP11" s="211">
        <f>BG11+AL11+AM11+AN11+AO11+AP11+AQ11+AS11+AT11+AU11+AV11+AW11+AX11+AY11+AZ11+BA11+BB11+BC11+BD11</f>
        <v>217224.3</v>
      </c>
      <c r="BQ11" s="212">
        <f>BL11+BM11+BN11+BO11+BP11</f>
        <v>9359114.6700000018</v>
      </c>
    </row>
    <row r="12" spans="1:78" s="1" customFormat="1" ht="24" hidden="1" customHeight="1" outlineLevel="1">
      <c r="A12" s="789"/>
      <c r="B12" s="649"/>
      <c r="C12" s="649"/>
      <c r="D12" s="9" t="s">
        <v>193</v>
      </c>
      <c r="E12" s="10"/>
      <c r="F12" s="894"/>
      <c r="G12" s="202" t="e">
        <f t="shared" si="0"/>
        <v>#DIV/0!</v>
      </c>
      <c r="H12" s="202" t="e">
        <f t="shared" si="1"/>
        <v>#DIV/0!</v>
      </c>
      <c r="I12" s="202" t="e">
        <f>G12+H12</f>
        <v>#DIV/0!</v>
      </c>
      <c r="J12" s="202" t="e">
        <f>ROUND((AL12-AK12)/E12,3)</f>
        <v>#DIV/0!</v>
      </c>
      <c r="K12" s="202" t="e">
        <f>ROUND((AM12+AN12+AO12+AP12+AQ12)/E12,2)</f>
        <v>#DIV/0!</v>
      </c>
      <c r="L12" s="202" t="e">
        <f>ROUND((AS12+AT12+AU12+AV12+AW12)/E12,2)</f>
        <v>#DIV/0!</v>
      </c>
      <c r="M12" s="202" t="e">
        <f>ROUND((AZ12+BA12)/E12,2)</f>
        <v>#DIV/0!</v>
      </c>
      <c r="N12" s="203" t="e">
        <f t="shared" si="2"/>
        <v>#DIV/0!</v>
      </c>
      <c r="O12" s="203" t="e">
        <f>ROUND(BF12/E12,2)</f>
        <v>#DIV/0!</v>
      </c>
      <c r="P12" s="203" t="e">
        <f>ROUND(AK12/E12,3)</f>
        <v>#DIV/0!</v>
      </c>
      <c r="Q12" s="202" t="e">
        <f>P12+O12+N12+M12+L12+K12+J12+I12</f>
        <v>#DIV/0!</v>
      </c>
      <c r="R12" s="202" t="e">
        <f>ROUND((Z12+AA12+AC12)/E12,2)</f>
        <v>#DIV/0!</v>
      </c>
      <c r="S12" s="202" t="e">
        <f t="shared" si="3"/>
        <v>#DIV/0!</v>
      </c>
      <c r="T12" s="252" t="e">
        <f>Q12+R12+S12</f>
        <v>#DIV/0!</v>
      </c>
      <c r="U12" s="894"/>
      <c r="V12" s="205">
        <v>0</v>
      </c>
      <c r="W12" s="205">
        <f>ROUND(V12*0.3193,0)</f>
        <v>0</v>
      </c>
      <c r="X12" s="205"/>
      <c r="Y12" s="205"/>
      <c r="Z12" s="205">
        <v>0</v>
      </c>
      <c r="AA12" s="205">
        <v>0</v>
      </c>
      <c r="AB12" s="205"/>
      <c r="AC12" s="205">
        <v>0</v>
      </c>
      <c r="AD12" s="205"/>
      <c r="AE12" s="205"/>
      <c r="AF12" s="205"/>
      <c r="AG12" s="205"/>
      <c r="AH12" s="205"/>
      <c r="AI12" s="205"/>
      <c r="AJ12" s="205"/>
      <c r="AK12" s="205"/>
      <c r="AL12" s="205">
        <f>SUM(AD12:AK12)</f>
        <v>0</v>
      </c>
      <c r="AM12" s="205"/>
      <c r="AN12" s="205"/>
      <c r="AO12" s="205"/>
      <c r="AP12" s="205"/>
      <c r="AQ12" s="205"/>
      <c r="AR12" s="900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>
        <v>0</v>
      </c>
      <c r="BG12" s="205"/>
      <c r="BH12" s="205">
        <f>V12+W12+X12+Y12+Z12+AA12+AC12+AL12+AM12+AN12+AO12+AP12+AS12+AT12+AU12+AV12+AW12+AX12+AY12+AZ12+BA12+BB12+BC12+BD12+BE12+BF12+BG12+AQ12</f>
        <v>0</v>
      </c>
      <c r="BI12" s="205"/>
      <c r="BJ12" s="205"/>
      <c r="BK12" s="206" t="e">
        <f t="shared" si="4"/>
        <v>#DIV/0!</v>
      </c>
      <c r="BL12" s="211">
        <f t="shared" si="5"/>
        <v>0</v>
      </c>
      <c r="BM12" s="211">
        <f t="shared" si="5"/>
        <v>0</v>
      </c>
      <c r="BN12" s="211">
        <f>Z12+AA12+AC12</f>
        <v>0</v>
      </c>
      <c r="BO12" s="211">
        <f>BF12</f>
        <v>0</v>
      </c>
      <c r="BP12" s="211">
        <f>BG12+AL12+AM12+AN12+AO12+AP12+AQ12+AS12+AT12+AU12+AV12+AW12+AX12+AY12+AZ12+BA12+BB12+BC12+BD12</f>
        <v>0</v>
      </c>
      <c r="BQ12" s="212">
        <f>BL12+BM12+BN12+BO12+BP12</f>
        <v>0</v>
      </c>
    </row>
    <row r="13" spans="1:78" s="1" customFormat="1" ht="60" collapsed="1">
      <c r="A13" s="649"/>
      <c r="B13" s="9" t="s">
        <v>198</v>
      </c>
      <c r="C13" s="9" t="s">
        <v>196</v>
      </c>
      <c r="D13" s="9"/>
      <c r="E13" s="10">
        <v>40189</v>
      </c>
      <c r="F13" s="894"/>
      <c r="G13" s="202">
        <f t="shared" si="0"/>
        <v>266.27100000000002</v>
      </c>
      <c r="H13" s="202">
        <f t="shared" si="1"/>
        <v>0</v>
      </c>
      <c r="I13" s="202">
        <f>G13+H13</f>
        <v>266.27100000000002</v>
      </c>
      <c r="J13" s="202">
        <f>ROUND((AL13-AK13)/E13,3)</f>
        <v>0.45900000000000002</v>
      </c>
      <c r="K13" s="202">
        <f>ROUND((AM13+AN13+AO13+AP13+AQ13)/E13,3)</f>
        <v>0.224</v>
      </c>
      <c r="L13" s="202">
        <f>ROUND((AS13+AT13+AU13+AV13+AW13)/E13,3)</f>
        <v>0.30099999999999999</v>
      </c>
      <c r="M13" s="202">
        <f>ROUND((AZ13+BA13)/E13,3)</f>
        <v>1.742</v>
      </c>
      <c r="N13" s="203">
        <f t="shared" si="2"/>
        <v>0</v>
      </c>
      <c r="O13" s="203">
        <f>ROUND(BF13/E13,3)</f>
        <v>2.7090000000000001</v>
      </c>
      <c r="P13" s="203">
        <f>ROUND(AK13/E13,3)</f>
        <v>0</v>
      </c>
      <c r="Q13" s="202">
        <f>P13+O13+N13+M13+L13+K13+J13+I13</f>
        <v>271.70600000000002</v>
      </c>
      <c r="R13" s="202">
        <f>ROUND((Z13+AA13+AC13)/E13,3)</f>
        <v>41.996000000000002</v>
      </c>
      <c r="S13" s="202">
        <f t="shared" si="3"/>
        <v>0</v>
      </c>
      <c r="T13" s="252">
        <f>Q13+R13+S13</f>
        <v>313.702</v>
      </c>
      <c r="U13" s="894"/>
      <c r="V13" s="205">
        <v>8110913</v>
      </c>
      <c r="W13" s="205">
        <f>4316760.5-W11</f>
        <v>2590260.5</v>
      </c>
      <c r="X13" s="205"/>
      <c r="Y13" s="205"/>
      <c r="Z13" s="205">
        <f>1825808-Z11</f>
        <v>1093434</v>
      </c>
      <c r="AA13" s="205">
        <f>759300-AA11</f>
        <v>455600</v>
      </c>
      <c r="AB13" s="205"/>
      <c r="AC13" s="205">
        <v>138747</v>
      </c>
      <c r="AD13" s="205">
        <v>14430</v>
      </c>
      <c r="AE13" s="205"/>
      <c r="AF13" s="205">
        <v>1500</v>
      </c>
      <c r="AG13" s="205">
        <v>1500</v>
      </c>
      <c r="AH13" s="205"/>
      <c r="AI13" s="205"/>
      <c r="AJ13" s="205">
        <v>1000</v>
      </c>
      <c r="AK13" s="205"/>
      <c r="AL13" s="205">
        <f>SUM(AD13:AK13)</f>
        <v>18430</v>
      </c>
      <c r="AM13" s="205"/>
      <c r="AN13" s="205"/>
      <c r="AO13" s="205"/>
      <c r="AP13" s="205"/>
      <c r="AQ13" s="205">
        <v>9000</v>
      </c>
      <c r="AR13" s="900"/>
      <c r="AS13" s="205"/>
      <c r="AT13" s="205"/>
      <c r="AU13" s="205">
        <v>12080.95</v>
      </c>
      <c r="AV13" s="205"/>
      <c r="AW13" s="205"/>
      <c r="AX13" s="205"/>
      <c r="AY13" s="205"/>
      <c r="AZ13" s="205">
        <v>70000</v>
      </c>
      <c r="BA13" s="205"/>
      <c r="BB13" s="205"/>
      <c r="BC13" s="205"/>
      <c r="BD13" s="205"/>
      <c r="BE13" s="205"/>
      <c r="BF13" s="205">
        <v>108887</v>
      </c>
      <c r="BG13" s="205"/>
      <c r="BH13" s="205">
        <f>V13+W13+X13+Y13+Z13+AA13+AC13+AL13+AM13+AN13+AO13+AP13+AS13+AT13+AU13+AV13+AW13+AX13+AY13+AZ13+BA13+BB13+BC13+BD13+BE13+BF13+BG13+AQ13</f>
        <v>12607352.449999999</v>
      </c>
      <c r="BI13" s="205"/>
      <c r="BJ13" s="205"/>
      <c r="BK13" s="206">
        <f t="shared" si="4"/>
        <v>313.7</v>
      </c>
      <c r="BL13" s="211">
        <f t="shared" si="5"/>
        <v>8110913</v>
      </c>
      <c r="BM13" s="211">
        <f t="shared" si="5"/>
        <v>2590260.5</v>
      </c>
      <c r="BN13" s="211">
        <f>Z13+AA13+AC13</f>
        <v>1687781</v>
      </c>
      <c r="BO13" s="211">
        <f>BF13</f>
        <v>108887</v>
      </c>
      <c r="BP13" s="211">
        <f>BG13+AL13+AM13+AN13+AO13+AP13+AQ13+AS13+AT13+AU13+AV13+AW13+AX13+AY13+AZ13+BA13+BB13+BC13+BD13</f>
        <v>109510.95</v>
      </c>
      <c r="BQ13" s="212">
        <f>BL13+BM13+BN13+BO13+BP13</f>
        <v>12607352.449999999</v>
      </c>
      <c r="BY13" s="245"/>
      <c r="BZ13" s="596"/>
    </row>
    <row r="14" spans="1:78" ht="36" customHeight="1">
      <c r="A14" s="493" t="s">
        <v>253</v>
      </c>
      <c r="B14" s="493"/>
      <c r="C14" s="493" t="s">
        <v>252</v>
      </c>
      <c r="D14" s="494"/>
      <c r="E14" s="495">
        <v>66981</v>
      </c>
      <c r="F14" s="496"/>
      <c r="G14" s="489">
        <f t="shared" si="0"/>
        <v>266.267</v>
      </c>
      <c r="H14" s="489">
        <f t="shared" si="1"/>
        <v>0</v>
      </c>
      <c r="I14" s="489">
        <f t="shared" ref="I14:I20" si="6">G14+H14</f>
        <v>266.267</v>
      </c>
      <c r="J14" s="490">
        <f>ROUND((AL14-AK14)/E14,3)</f>
        <v>0.48399999999999999</v>
      </c>
      <c r="K14" s="489">
        <f>ROUND((AM14+AN14+AO14+AP14+AQ14)/E14,3)</f>
        <v>0.38200000000000001</v>
      </c>
      <c r="L14" s="489">
        <f>ROUND((AS14+AT14+AU14+AV14+AW14)/E14,3)</f>
        <v>0.42899999999999999</v>
      </c>
      <c r="M14" s="489">
        <f>ROUND((AZ14+BA14)/E14,3)</f>
        <v>3.5830000000000002</v>
      </c>
      <c r="N14" s="491">
        <f t="shared" si="2"/>
        <v>0</v>
      </c>
      <c r="O14" s="491">
        <f t="shared" ref="O14:O19" si="7">ROUND(BF14/E14,2)</f>
        <v>14.76</v>
      </c>
      <c r="P14" s="492">
        <f>ROUND(AK14/E14,3)</f>
        <v>0</v>
      </c>
      <c r="Q14" s="489">
        <f t="shared" ref="Q14:Q20" si="8">P14+O14+N14+M14+L14+K14+J14+I14</f>
        <v>285.90499999999997</v>
      </c>
      <c r="R14" s="489">
        <f t="shared" ref="R14:R19" si="9">ROUND((Z14+AA14+AC14)/E14,2)</f>
        <v>42.05</v>
      </c>
      <c r="S14" s="489">
        <f t="shared" si="3"/>
        <v>0</v>
      </c>
      <c r="T14" s="489">
        <f t="shared" ref="T14:T20" si="10">Q14+R14+S14</f>
        <v>327.95499999999998</v>
      </c>
      <c r="U14" s="497"/>
      <c r="V14" s="498">
        <f>V9+V10+V11+V12+V13</f>
        <v>13518053.370000001</v>
      </c>
      <c r="W14" s="498">
        <f t="shared" ref="W14:BG14" si="11">W9+W10+W11+W12+W13</f>
        <v>4316760.5</v>
      </c>
      <c r="X14" s="498">
        <f t="shared" si="11"/>
        <v>0</v>
      </c>
      <c r="Y14" s="498">
        <f t="shared" si="11"/>
        <v>0</v>
      </c>
      <c r="Z14" s="498">
        <f>Z9+Z10+Z11+Z12+Z13</f>
        <v>1825808</v>
      </c>
      <c r="AA14" s="498">
        <f t="shared" si="11"/>
        <v>759300</v>
      </c>
      <c r="AB14" s="498">
        <f t="shared" si="11"/>
        <v>0</v>
      </c>
      <c r="AC14" s="498">
        <f t="shared" si="11"/>
        <v>231256</v>
      </c>
      <c r="AD14" s="498">
        <f t="shared" si="11"/>
        <v>24309</v>
      </c>
      <c r="AE14" s="498">
        <f t="shared" si="11"/>
        <v>0</v>
      </c>
      <c r="AF14" s="498">
        <f t="shared" si="11"/>
        <v>2500</v>
      </c>
      <c r="AG14" s="498">
        <f t="shared" si="11"/>
        <v>2500</v>
      </c>
      <c r="AH14" s="498">
        <f t="shared" si="11"/>
        <v>0</v>
      </c>
      <c r="AI14" s="498">
        <f t="shared" si="11"/>
        <v>0</v>
      </c>
      <c r="AJ14" s="498">
        <f t="shared" si="11"/>
        <v>3100</v>
      </c>
      <c r="AK14" s="498">
        <f t="shared" si="11"/>
        <v>0</v>
      </c>
      <c r="AL14" s="498">
        <f t="shared" si="11"/>
        <v>32409</v>
      </c>
      <c r="AM14" s="498">
        <f t="shared" si="11"/>
        <v>10000</v>
      </c>
      <c r="AN14" s="498">
        <f t="shared" si="11"/>
        <v>0</v>
      </c>
      <c r="AO14" s="498">
        <f t="shared" si="11"/>
        <v>0</v>
      </c>
      <c r="AP14" s="498">
        <f t="shared" si="11"/>
        <v>600</v>
      </c>
      <c r="AQ14" s="498">
        <f t="shared" si="11"/>
        <v>15000</v>
      </c>
      <c r="AR14" s="499"/>
      <c r="AS14" s="498">
        <f t="shared" si="11"/>
        <v>0</v>
      </c>
      <c r="AT14" s="498">
        <f t="shared" si="11"/>
        <v>0</v>
      </c>
      <c r="AU14" s="498">
        <f t="shared" si="11"/>
        <v>28731.95</v>
      </c>
      <c r="AV14" s="498">
        <f t="shared" si="11"/>
        <v>0</v>
      </c>
      <c r="AW14" s="498">
        <f t="shared" si="11"/>
        <v>0</v>
      </c>
      <c r="AX14" s="498">
        <f t="shared" si="11"/>
        <v>0</v>
      </c>
      <c r="AY14" s="498">
        <f t="shared" si="11"/>
        <v>0</v>
      </c>
      <c r="AZ14" s="498">
        <f t="shared" si="11"/>
        <v>239994.3</v>
      </c>
      <c r="BA14" s="498">
        <f t="shared" si="11"/>
        <v>0</v>
      </c>
      <c r="BB14" s="498">
        <f t="shared" si="11"/>
        <v>0</v>
      </c>
      <c r="BC14" s="498">
        <f t="shared" si="11"/>
        <v>0</v>
      </c>
      <c r="BD14" s="498">
        <f t="shared" si="11"/>
        <v>0</v>
      </c>
      <c r="BE14" s="498">
        <f t="shared" si="11"/>
        <v>0</v>
      </c>
      <c r="BF14" s="498">
        <f t="shared" si="11"/>
        <v>988554</v>
      </c>
      <c r="BG14" s="498">
        <f t="shared" si="11"/>
        <v>0</v>
      </c>
      <c r="BH14" s="498">
        <f>BH9+BH10+BH11+BH12+BH13</f>
        <v>21966467.119999997</v>
      </c>
      <c r="BI14" s="500"/>
      <c r="BJ14" s="501"/>
      <c r="BK14" s="498">
        <f t="shared" si="4"/>
        <v>327.95</v>
      </c>
      <c r="BL14" s="633">
        <f t="shared" ref="BL14:BQ14" si="12">BL9+BL10+BL11+BL12+BL13</f>
        <v>13518053.370000001</v>
      </c>
      <c r="BM14" s="633">
        <f t="shared" si="12"/>
        <v>4316760.5</v>
      </c>
      <c r="BN14" s="633">
        <f t="shared" si="12"/>
        <v>2816364</v>
      </c>
      <c r="BO14" s="633">
        <f t="shared" si="12"/>
        <v>988554</v>
      </c>
      <c r="BP14" s="633">
        <f t="shared" si="12"/>
        <v>326735.25</v>
      </c>
      <c r="BQ14" s="633">
        <f t="shared" si="12"/>
        <v>21966467.120000001</v>
      </c>
      <c r="BY14" s="16"/>
      <c r="BZ14" s="594"/>
    </row>
    <row r="15" spans="1:78" s="1" customFormat="1" ht="22.5" hidden="1" customHeight="1" outlineLevel="1">
      <c r="A15" s="648" t="s">
        <v>194</v>
      </c>
      <c r="B15" s="648" t="s">
        <v>197</v>
      </c>
      <c r="C15" s="648" t="s">
        <v>189</v>
      </c>
      <c r="D15" s="9" t="s">
        <v>190</v>
      </c>
      <c r="E15" s="10"/>
      <c r="F15" s="671" t="s">
        <v>222</v>
      </c>
      <c r="G15" s="8" t="e">
        <f t="shared" si="0"/>
        <v>#DIV/0!</v>
      </c>
      <c r="H15" s="8" t="e">
        <f t="shared" si="1"/>
        <v>#DIV/0!</v>
      </c>
      <c r="I15" s="8" t="e">
        <f t="shared" si="6"/>
        <v>#DIV/0!</v>
      </c>
      <c r="J15" s="8" t="e">
        <f>ROUND(AL15/E15,3)</f>
        <v>#DIV/0!</v>
      </c>
      <c r="K15" s="8" t="e">
        <f>ROUND((AM15+AN15+AO15+AP15+AQ15)/E15,2)</f>
        <v>#DIV/0!</v>
      </c>
      <c r="L15" s="8" t="e">
        <f>ROUND((AS15+AT15+AU15+AV15+AW15)/E15,2)</f>
        <v>#DIV/0!</v>
      </c>
      <c r="M15" s="8" t="e">
        <f>ROUND((AZ15+BA15)/E15,2)</f>
        <v>#DIV/0!</v>
      </c>
      <c r="N15" s="11" t="e">
        <f t="shared" si="2"/>
        <v>#DIV/0!</v>
      </c>
      <c r="O15" s="11" t="e">
        <f t="shared" si="7"/>
        <v>#DIV/0!</v>
      </c>
      <c r="P15" s="11" t="e">
        <f>ROUND(BG15/E15,2)</f>
        <v>#DIV/0!</v>
      </c>
      <c r="Q15" s="8" t="e">
        <f t="shared" si="8"/>
        <v>#DIV/0!</v>
      </c>
      <c r="R15" s="8" t="e">
        <f t="shared" si="9"/>
        <v>#DIV/0!</v>
      </c>
      <c r="S15" s="8" t="e">
        <f t="shared" si="3"/>
        <v>#DIV/0!</v>
      </c>
      <c r="T15" s="39" t="e">
        <f t="shared" si="10"/>
        <v>#DIV/0!</v>
      </c>
      <c r="U15" s="671" t="s">
        <v>222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705" t="s">
        <v>222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>
        <f>V15+W15+X15+Y15+Z15+AA15+AC15+AL15+AM15+AN15+AO15+AP15+AS15+AT15+AU15+AV15+AW15+AX15+AY15+AZ15+BA15+BB15+BC15+BD15+BE15+BF15+BG15+AQ15</f>
        <v>0</v>
      </c>
      <c r="BI15" s="15"/>
      <c r="BJ15" s="15"/>
      <c r="BK15" s="24" t="e">
        <f t="shared" si="4"/>
        <v>#DIV/0!</v>
      </c>
      <c r="BL15" s="76">
        <f t="shared" ref="BL15:BM19" si="13">V15+X15</f>
        <v>0</v>
      </c>
      <c r="BM15" s="76">
        <f t="shared" si="13"/>
        <v>0</v>
      </c>
      <c r="BN15" s="76">
        <f>Z15+AA15+AC15</f>
        <v>0</v>
      </c>
      <c r="BO15" s="76">
        <f>BF15</f>
        <v>0</v>
      </c>
      <c r="BP15" s="76">
        <f>BG15+AL15+AM15+AN15+AO15+AP15+AQ15+AS15+AT15+AU15+AV15+AW15+AX15+AY15+AZ15+BA15+BB15+BC15+BD15</f>
        <v>0</v>
      </c>
      <c r="BQ15" s="92">
        <f>BL15+BM15+BN15+BO15+BP15</f>
        <v>0</v>
      </c>
    </row>
    <row r="16" spans="1:78" s="1" customFormat="1" ht="58.5" customHeight="1" collapsed="1">
      <c r="A16" s="789"/>
      <c r="B16" s="660"/>
      <c r="C16" s="660"/>
      <c r="D16" s="9" t="s">
        <v>191</v>
      </c>
      <c r="E16" s="313">
        <v>5219</v>
      </c>
      <c r="F16" s="884"/>
      <c r="G16" s="8">
        <f t="shared" si="0"/>
        <v>1148.9269999999999</v>
      </c>
      <c r="H16" s="8">
        <f>ROUND((X16+Y16)/E16,3)</f>
        <v>377.06599999999997</v>
      </c>
      <c r="I16" s="8">
        <f t="shared" si="6"/>
        <v>1525.9929999999999</v>
      </c>
      <c r="J16" s="202">
        <f t="shared" ref="J16:J21" si="14">ROUND((AL16-AK16)/E16,3)</f>
        <v>8.1850000000000005</v>
      </c>
      <c r="K16" s="202">
        <f>ROUND((AM16+AN16+AO16+AP16+AQ16)/E16,3)</f>
        <v>0.308</v>
      </c>
      <c r="L16" s="202">
        <f>ROUND((AS16+AT16+AU16+AV16+AW16)/E16,3)</f>
        <v>0</v>
      </c>
      <c r="M16" s="202">
        <f>ROUND((AZ16+BA16)/E16,3)</f>
        <v>25.01</v>
      </c>
      <c r="N16" s="203">
        <f t="shared" si="2"/>
        <v>0</v>
      </c>
      <c r="O16" s="203">
        <f t="shared" si="7"/>
        <v>72.67</v>
      </c>
      <c r="P16" s="203">
        <f t="shared" ref="P16:P21" si="15">ROUND(AK16/E16,3)</f>
        <v>1.0209999999999999</v>
      </c>
      <c r="Q16" s="8">
        <f t="shared" si="8"/>
        <v>1633.1869999999999</v>
      </c>
      <c r="R16" s="8">
        <f t="shared" si="9"/>
        <v>147.84</v>
      </c>
      <c r="S16" s="8">
        <f t="shared" si="3"/>
        <v>0</v>
      </c>
      <c r="T16" s="39">
        <f t="shared" si="10"/>
        <v>1781.0269999999998</v>
      </c>
      <c r="U16" s="831"/>
      <c r="V16" s="15">
        <v>4605415</v>
      </c>
      <c r="W16" s="15">
        <f>ROUND(V16*0.302,0)</f>
        <v>1390835</v>
      </c>
      <c r="X16" s="15">
        <v>1511451</v>
      </c>
      <c r="Y16" s="15">
        <f>ROUND(X16*0.302,0)</f>
        <v>456458</v>
      </c>
      <c r="Z16" s="15">
        <f>327636</f>
        <v>327636</v>
      </c>
      <c r="AA16" s="15">
        <v>311109</v>
      </c>
      <c r="AB16" s="15"/>
      <c r="AC16" s="15">
        <v>132850</v>
      </c>
      <c r="AD16" s="15">
        <v>10000</v>
      </c>
      <c r="AE16" s="15"/>
      <c r="AF16" s="15"/>
      <c r="AG16" s="15">
        <v>570</v>
      </c>
      <c r="AH16" s="15"/>
      <c r="AI16" s="15">
        <f>50000*0.643</f>
        <v>32150</v>
      </c>
      <c r="AJ16" s="15"/>
      <c r="AK16" s="15">
        <v>5330</v>
      </c>
      <c r="AL16" s="15">
        <f>SUM(AD16:AK16)</f>
        <v>48050</v>
      </c>
      <c r="AM16" s="15"/>
      <c r="AN16" s="15"/>
      <c r="AO16" s="15"/>
      <c r="AP16" s="15">
        <v>1605</v>
      </c>
      <c r="AQ16" s="15"/>
      <c r="AR16" s="837"/>
      <c r="AS16" s="15"/>
      <c r="AT16" s="15"/>
      <c r="AU16" s="15"/>
      <c r="AV16" s="15"/>
      <c r="AW16" s="15"/>
      <c r="AX16" s="15"/>
      <c r="AY16" s="15"/>
      <c r="AZ16" s="15">
        <f>203000.08*0.643</f>
        <v>130529.05144</v>
      </c>
      <c r="BA16" s="15"/>
      <c r="BB16" s="15"/>
      <c r="BC16" s="15"/>
      <c r="BD16" s="15"/>
      <c r="BE16" s="15"/>
      <c r="BF16" s="15">
        <v>379275</v>
      </c>
      <c r="BG16" s="15"/>
      <c r="BH16" s="15">
        <f>V16+W16+X16+Y16+Z16+AA16+AC16+AL16+AM16+AN16+AO16+AP16+AS16+AT16+AU16+AV16+AW16+AX16+AY16+AZ16+BA16+BB16+BC16+BD16+BE16+BF16+BG16+AQ16</f>
        <v>9295213.0514400005</v>
      </c>
      <c r="BI16" s="15"/>
      <c r="BJ16" s="15"/>
      <c r="BK16" s="24">
        <f t="shared" si="4"/>
        <v>1781.03</v>
      </c>
      <c r="BL16" s="76">
        <f>V16+X16</f>
        <v>6116866</v>
      </c>
      <c r="BM16" s="76">
        <f t="shared" si="13"/>
        <v>1847293</v>
      </c>
      <c r="BN16" s="76">
        <f>Z16+AA16+AC16</f>
        <v>771595</v>
      </c>
      <c r="BO16" s="76">
        <f>BF16</f>
        <v>379275</v>
      </c>
      <c r="BP16" s="211">
        <f>BG16+AL16+AM16+AN16+AO16+AP16+AQ16+AS16+AT16+AU16+AV16+AW16+AX16+AY16+AZ16+BA16+BB16+BC16+BD16</f>
        <v>180184.05144000001</v>
      </c>
      <c r="BQ16" s="92">
        <f>BL16+BM16+BN16+BO16+BP16</f>
        <v>9295213.0514400005</v>
      </c>
      <c r="BY16" s="245"/>
      <c r="BZ16" s="596"/>
    </row>
    <row r="17" spans="1:84" s="1" customFormat="1" ht="23.25" hidden="1" customHeight="1" outlineLevel="1">
      <c r="A17" s="789"/>
      <c r="B17" s="660"/>
      <c r="C17" s="660"/>
      <c r="D17" s="9" t="s">
        <v>192</v>
      </c>
      <c r="E17" s="313"/>
      <c r="F17" s="884"/>
      <c r="G17" s="8" t="e">
        <f t="shared" si="0"/>
        <v>#DIV/0!</v>
      </c>
      <c r="H17" s="8" t="e">
        <f>ROUND((X17+Y17)/E17,2)</f>
        <v>#DIV/0!</v>
      </c>
      <c r="I17" s="8" t="e">
        <f t="shared" si="6"/>
        <v>#DIV/0!</v>
      </c>
      <c r="J17" s="202" t="e">
        <f t="shared" si="14"/>
        <v>#DIV/0!</v>
      </c>
      <c r="K17" s="202" t="e">
        <f>ROUND((AM17+AN17+AO17+AP17+AQ17)/E17,2)</f>
        <v>#DIV/0!</v>
      </c>
      <c r="L17" s="202" t="e">
        <f>ROUND((AS17+AT17+AU17+AV17+AW17)/E17,2)</f>
        <v>#DIV/0!</v>
      </c>
      <c r="M17" s="202" t="e">
        <f>ROUND((AZ17+BA17)/E17,2)</f>
        <v>#DIV/0!</v>
      </c>
      <c r="N17" s="203" t="e">
        <f t="shared" si="2"/>
        <v>#DIV/0!</v>
      </c>
      <c r="O17" s="203" t="e">
        <f t="shared" si="7"/>
        <v>#DIV/0!</v>
      </c>
      <c r="P17" s="203" t="e">
        <f t="shared" si="15"/>
        <v>#DIV/0!</v>
      </c>
      <c r="Q17" s="8" t="e">
        <f t="shared" si="8"/>
        <v>#DIV/0!</v>
      </c>
      <c r="R17" s="8" t="e">
        <f t="shared" si="9"/>
        <v>#DIV/0!</v>
      </c>
      <c r="S17" s="8" t="e">
        <f t="shared" si="3"/>
        <v>#DIV/0!</v>
      </c>
      <c r="T17" s="39" t="e">
        <f t="shared" si="10"/>
        <v>#DIV/0!</v>
      </c>
      <c r="U17" s="831"/>
      <c r="V17" s="15"/>
      <c r="W17" s="15">
        <f>ROUND(V17*0.302,0)</f>
        <v>0</v>
      </c>
      <c r="X17" s="15"/>
      <c r="Y17" s="15">
        <f>ROUND(X17*0.302,0)</f>
        <v>0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>
        <f>SUM(AD17:AK17)</f>
        <v>0</v>
      </c>
      <c r="AM17" s="15"/>
      <c r="AN17" s="15"/>
      <c r="AO17" s="15"/>
      <c r="AP17" s="15"/>
      <c r="AQ17" s="15"/>
      <c r="AR17" s="837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>
        <f>V17+W17+X17+Y17+Z17+AA17+AC17+AL17+AM17+AN17+AO17+AP17+AS17+AT17+AU17+AV17+AW17+AX17+AY17+AZ17+BA17+BB17+BC17+BD17+BE17+BF17+BG17+AQ17</f>
        <v>0</v>
      </c>
      <c r="BI17" s="15"/>
      <c r="BJ17" s="15"/>
      <c r="BK17" s="24" t="e">
        <f t="shared" si="4"/>
        <v>#DIV/0!</v>
      </c>
      <c r="BL17" s="76">
        <f>V17+X17</f>
        <v>0</v>
      </c>
      <c r="BM17" s="76">
        <f t="shared" si="13"/>
        <v>0</v>
      </c>
      <c r="BN17" s="76">
        <f>Z17+AA17+AC17</f>
        <v>0</v>
      </c>
      <c r="BO17" s="76">
        <f>BF17</f>
        <v>0</v>
      </c>
      <c r="BP17" s="211">
        <f>BG17+AL17+AM17+AN17+AO17+AP17+AQ17+AS17+AT17+AU17+AV17+AW17+AX17+AY17+AZ17+BA17+BB17+BC17+BD17</f>
        <v>0</v>
      </c>
      <c r="BQ17" s="92">
        <f>BL17+BM17+BN17+BO17+BP17</f>
        <v>0</v>
      </c>
    </row>
    <row r="18" spans="1:84" s="1" customFormat="1" ht="28.5" hidden="1" customHeight="1" outlineLevel="1">
      <c r="A18" s="789"/>
      <c r="B18" s="649"/>
      <c r="C18" s="649"/>
      <c r="D18" s="9" t="s">
        <v>193</v>
      </c>
      <c r="E18" s="313"/>
      <c r="F18" s="884"/>
      <c r="G18" s="8" t="e">
        <f t="shared" si="0"/>
        <v>#DIV/0!</v>
      </c>
      <c r="H18" s="8" t="e">
        <f>ROUND((X18+Y18)/E18,2)</f>
        <v>#DIV/0!</v>
      </c>
      <c r="I18" s="8" t="e">
        <f t="shared" si="6"/>
        <v>#DIV/0!</v>
      </c>
      <c r="J18" s="202" t="e">
        <f t="shared" si="14"/>
        <v>#DIV/0!</v>
      </c>
      <c r="K18" s="202" t="e">
        <f>ROUND((AM18+AN18+AO18+AP18+AQ18)/E18,3)</f>
        <v>#DIV/0!</v>
      </c>
      <c r="L18" s="202" t="e">
        <f>ROUND((AS18+AT18+AU18+AV18+AW18)/E18,2)</f>
        <v>#DIV/0!</v>
      </c>
      <c r="M18" s="202" t="e">
        <f>ROUND((AZ18+BA18)/E18,2)</f>
        <v>#DIV/0!</v>
      </c>
      <c r="N18" s="203" t="e">
        <f t="shared" si="2"/>
        <v>#DIV/0!</v>
      </c>
      <c r="O18" s="203" t="e">
        <f t="shared" si="7"/>
        <v>#DIV/0!</v>
      </c>
      <c r="P18" s="203" t="e">
        <f t="shared" si="15"/>
        <v>#DIV/0!</v>
      </c>
      <c r="Q18" s="8" t="e">
        <f t="shared" si="8"/>
        <v>#DIV/0!</v>
      </c>
      <c r="R18" s="8" t="e">
        <f t="shared" si="9"/>
        <v>#DIV/0!</v>
      </c>
      <c r="S18" s="8" t="e">
        <f t="shared" si="3"/>
        <v>#DIV/0!</v>
      </c>
      <c r="T18" s="39" t="e">
        <f t="shared" si="10"/>
        <v>#DIV/0!</v>
      </c>
      <c r="U18" s="831"/>
      <c r="V18" s="15"/>
      <c r="W18" s="15">
        <f>ROUND(V18*0.302,0)</f>
        <v>0</v>
      </c>
      <c r="X18" s="15"/>
      <c r="Y18" s="15">
        <f>ROUND(X18*0.302,0)</f>
        <v>0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>
        <f>SUM(AD18:AK18)</f>
        <v>0</v>
      </c>
      <c r="AM18" s="15"/>
      <c r="AN18" s="15"/>
      <c r="AO18" s="15"/>
      <c r="AP18" s="15"/>
      <c r="AQ18" s="15"/>
      <c r="AR18" s="837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>
        <f>V18+W18+X18+Y18+Z18+AA18+AC18+AL18+AM18+AN18+AO18+AP18+AS18+AT18+AU18+AV18+AW18+AX18+AY18+AZ18+BA18+BB18+BC18+BD18+BE18+BF18+BG18+AQ18</f>
        <v>0</v>
      </c>
      <c r="BI18" s="15"/>
      <c r="BJ18" s="15"/>
      <c r="BK18" s="24" t="e">
        <f t="shared" si="4"/>
        <v>#DIV/0!</v>
      </c>
      <c r="BL18" s="76">
        <f>V18+X18</f>
        <v>0</v>
      </c>
      <c r="BM18" s="76">
        <f t="shared" si="13"/>
        <v>0</v>
      </c>
      <c r="BN18" s="76">
        <f>Z18+AA18+AC18</f>
        <v>0</v>
      </c>
      <c r="BO18" s="76">
        <f>BF18</f>
        <v>0</v>
      </c>
      <c r="BP18" s="211">
        <f>BG18+AL18+AM18+AN18+AO18+AP18+AQ18+AS18+AT18+AU18+AV18+AW18+AX18+AY18+AZ18+BA18+BB18+BC18+BD18</f>
        <v>0</v>
      </c>
      <c r="BQ18" s="92">
        <f>BL18+BM18+BN18+BO18+BP18</f>
        <v>0</v>
      </c>
    </row>
    <row r="19" spans="1:84" s="1" customFormat="1" ht="60" collapsed="1">
      <c r="A19" s="649"/>
      <c r="B19" s="9" t="s">
        <v>198</v>
      </c>
      <c r="C19" s="9" t="s">
        <v>196</v>
      </c>
      <c r="D19" s="9"/>
      <c r="E19" s="313">
        <v>10900</v>
      </c>
      <c r="F19" s="885"/>
      <c r="G19" s="8">
        <f t="shared" si="0"/>
        <v>305.57400000000001</v>
      </c>
      <c r="H19" s="8">
        <f>ROUND((X19+Y19)/E19,2)</f>
        <v>62.89</v>
      </c>
      <c r="I19" s="8">
        <f t="shared" si="6"/>
        <v>368.464</v>
      </c>
      <c r="J19" s="486">
        <f t="shared" si="14"/>
        <v>1.681</v>
      </c>
      <c r="K19" s="485">
        <f>ROUND((AM19+AN19+AO19+AP19+AQ19)/E19,3)</f>
        <v>4.5999999999999999E-2</v>
      </c>
      <c r="L19" s="485">
        <f t="shared" ref="L19:L26" si="16">ROUND((AS19+AT19+AU19+AV19+AW19)/E19,3)</f>
        <v>0</v>
      </c>
      <c r="M19" s="485">
        <f>ROUND((AZ19+BA19)/E19,3)</f>
        <v>4.1719999999999997</v>
      </c>
      <c r="N19" s="487">
        <f t="shared" si="2"/>
        <v>0</v>
      </c>
      <c r="O19" s="487">
        <f t="shared" si="7"/>
        <v>14.56</v>
      </c>
      <c r="P19" s="488">
        <f t="shared" si="15"/>
        <v>0.45900000000000002</v>
      </c>
      <c r="Q19" s="8">
        <f t="shared" si="8"/>
        <v>389.38200000000001</v>
      </c>
      <c r="R19" s="8">
        <f t="shared" si="9"/>
        <v>11.9</v>
      </c>
      <c r="S19" s="8">
        <f t="shared" si="3"/>
        <v>0</v>
      </c>
      <c r="T19" s="39">
        <f t="shared" si="10"/>
        <v>401.28199999999998</v>
      </c>
      <c r="U19" s="832"/>
      <c r="V19" s="15">
        <v>2588521.42</v>
      </c>
      <c r="W19" s="15">
        <f>ROUND(V19*0.302,0)-39495.77</f>
        <v>742237.23</v>
      </c>
      <c r="X19" s="15">
        <v>526540</v>
      </c>
      <c r="Y19" s="15">
        <f>ROUND(X19*0.302,0)</f>
        <v>159015</v>
      </c>
      <c r="Z19" s="15">
        <f>442773-Z16-58889</f>
        <v>56248</v>
      </c>
      <c r="AA19" s="15">
        <f>417300-55501-AA16</f>
        <v>50690</v>
      </c>
      <c r="AB19" s="15"/>
      <c r="AC19" s="15">
        <f>179536-23878-AC16</f>
        <v>22808</v>
      </c>
      <c r="AD19" s="15">
        <v>5000</v>
      </c>
      <c r="AE19" s="15"/>
      <c r="AF19" s="15"/>
      <c r="AG19" s="15">
        <v>400</v>
      </c>
      <c r="AH19" s="15"/>
      <c r="AI19" s="15">
        <f>50000*0.224</f>
        <v>11200</v>
      </c>
      <c r="AJ19" s="15">
        <v>1720.05</v>
      </c>
      <c r="AK19" s="15">
        <v>5000</v>
      </c>
      <c r="AL19" s="15">
        <f>SUM(AD19:AK19)</f>
        <v>23320.05</v>
      </c>
      <c r="AM19" s="15"/>
      <c r="AN19" s="15"/>
      <c r="AO19" s="15"/>
      <c r="AP19" s="15">
        <v>500</v>
      </c>
      <c r="AQ19" s="15"/>
      <c r="AR19" s="838"/>
      <c r="AS19" s="15"/>
      <c r="AT19" s="15"/>
      <c r="AU19" s="15"/>
      <c r="AV19" s="15"/>
      <c r="AW19" s="15"/>
      <c r="AX19" s="15"/>
      <c r="AY19" s="15"/>
      <c r="AZ19" s="15">
        <f>203000.08*0.224</f>
        <v>45472.017919999998</v>
      </c>
      <c r="BA19" s="15"/>
      <c r="BB19" s="15"/>
      <c r="BC19" s="15"/>
      <c r="BD19" s="15"/>
      <c r="BE19" s="15"/>
      <c r="BF19" s="15">
        <f>620441.05-379275-82500</f>
        <v>158666.05000000005</v>
      </c>
      <c r="BG19" s="15"/>
      <c r="BH19" s="15">
        <f>V19+W19+X19+Y19+Z19+AA19+AC19+AL19+AM19+AN19+AO19+AP19+AS19+AT19+AU19+AV19+AW19+AX19+AY19+AZ19+BA19+BB19+BC19+BD19+BE19+BF19+BG19+AQ19</f>
        <v>4374017.7679199995</v>
      </c>
      <c r="BI19" s="15"/>
      <c r="BJ19" s="15"/>
      <c r="BK19" s="24">
        <f t="shared" si="4"/>
        <v>401.29</v>
      </c>
      <c r="BL19" s="76">
        <f>V19+X19</f>
        <v>3115061.42</v>
      </c>
      <c r="BM19" s="76">
        <f t="shared" si="13"/>
        <v>901252.23</v>
      </c>
      <c r="BN19" s="76">
        <f>Z19+AA19+AC19</f>
        <v>129746</v>
      </c>
      <c r="BO19" s="76">
        <f>BF19</f>
        <v>158666.05000000005</v>
      </c>
      <c r="BP19" s="211">
        <f>BG19+AL19+AM19+AN19+AO19+AP19+AQ19+AS19+AT19+AU19+AV19+AW19+AX19+AY19+AZ19+BA19+BB19+BC19+BD19</f>
        <v>69292.067920000001</v>
      </c>
      <c r="BQ19" s="92">
        <f>BL19+BM19+BN19+BO19+BP19</f>
        <v>4374017.7679200005</v>
      </c>
    </row>
    <row r="20" spans="1:84" ht="32.25" customHeight="1">
      <c r="A20" s="493" t="s">
        <v>254</v>
      </c>
      <c r="B20" s="493"/>
      <c r="C20" s="493" t="s">
        <v>252</v>
      </c>
      <c r="D20" s="494"/>
      <c r="E20" s="495">
        <v>42216</v>
      </c>
      <c r="F20" s="496"/>
      <c r="G20" s="489">
        <f t="shared" si="0"/>
        <v>220.935</v>
      </c>
      <c r="H20" s="489">
        <f>ROUND((X20+Y20)/E20,3)</f>
        <v>62.853999999999999</v>
      </c>
      <c r="I20" s="489">
        <f t="shared" si="6"/>
        <v>283.78899999999999</v>
      </c>
      <c r="J20" s="490">
        <f t="shared" si="14"/>
        <v>1.446</v>
      </c>
      <c r="K20" s="489">
        <f>ROUND((AM20+AN20+AO20+AP20+AQ20)/E20,3)</f>
        <v>0.05</v>
      </c>
      <c r="L20" s="489">
        <f t="shared" si="16"/>
        <v>0</v>
      </c>
      <c r="M20" s="489">
        <f>ROUND((AZ20+BA20)/E20,3)</f>
        <v>4.1689999999999996</v>
      </c>
      <c r="N20" s="491">
        <f t="shared" si="2"/>
        <v>0</v>
      </c>
      <c r="O20" s="491">
        <f>ROUND(BF20/E20,3)</f>
        <v>12.743</v>
      </c>
      <c r="P20" s="492">
        <f t="shared" si="15"/>
        <v>0.245</v>
      </c>
      <c r="Q20" s="489">
        <f t="shared" si="8"/>
        <v>302.44200000000001</v>
      </c>
      <c r="R20" s="489">
        <f>ROUND((Z20+AA20+AC20)/E20,3)</f>
        <v>21.350999999999999</v>
      </c>
      <c r="S20" s="489">
        <f t="shared" si="3"/>
        <v>0</v>
      </c>
      <c r="T20" s="489">
        <f t="shared" si="10"/>
        <v>323.79300000000001</v>
      </c>
      <c r="U20" s="497"/>
      <c r="V20" s="498">
        <f t="shared" ref="V20:AQ20" si="17">V16+V19</f>
        <v>7193936.4199999999</v>
      </c>
      <c r="W20" s="498">
        <f t="shared" si="17"/>
        <v>2133072.23</v>
      </c>
      <c r="X20" s="498">
        <f t="shared" si="17"/>
        <v>2037991</v>
      </c>
      <c r="Y20" s="498">
        <f t="shared" si="17"/>
        <v>615473</v>
      </c>
      <c r="Z20" s="498">
        <f t="shared" si="17"/>
        <v>383884</v>
      </c>
      <c r="AA20" s="498">
        <f t="shared" si="17"/>
        <v>361799</v>
      </c>
      <c r="AB20" s="498">
        <f t="shared" si="17"/>
        <v>0</v>
      </c>
      <c r="AC20" s="498">
        <f t="shared" si="17"/>
        <v>155658</v>
      </c>
      <c r="AD20" s="498">
        <f t="shared" si="17"/>
        <v>15000</v>
      </c>
      <c r="AE20" s="498">
        <f t="shared" si="17"/>
        <v>0</v>
      </c>
      <c r="AF20" s="498">
        <f t="shared" si="17"/>
        <v>0</v>
      </c>
      <c r="AG20" s="498">
        <f t="shared" si="17"/>
        <v>970</v>
      </c>
      <c r="AH20" s="498">
        <f t="shared" si="17"/>
        <v>0</v>
      </c>
      <c r="AI20" s="498">
        <f t="shared" si="17"/>
        <v>43350</v>
      </c>
      <c r="AJ20" s="498">
        <f t="shared" si="17"/>
        <v>1720.05</v>
      </c>
      <c r="AK20" s="498">
        <f t="shared" si="17"/>
        <v>10330</v>
      </c>
      <c r="AL20" s="498">
        <f t="shared" si="17"/>
        <v>71370.05</v>
      </c>
      <c r="AM20" s="498">
        <f t="shared" si="17"/>
        <v>0</v>
      </c>
      <c r="AN20" s="498">
        <f t="shared" si="17"/>
        <v>0</v>
      </c>
      <c r="AO20" s="498">
        <f t="shared" si="17"/>
        <v>0</v>
      </c>
      <c r="AP20" s="498">
        <f t="shared" si="17"/>
        <v>2105</v>
      </c>
      <c r="AQ20" s="498">
        <f t="shared" si="17"/>
        <v>0</v>
      </c>
      <c r="AR20" s="499"/>
      <c r="AS20" s="498">
        <f t="shared" ref="AS20:BH20" si="18">AS16+AS19</f>
        <v>0</v>
      </c>
      <c r="AT20" s="498">
        <f t="shared" si="18"/>
        <v>0</v>
      </c>
      <c r="AU20" s="498">
        <f t="shared" si="18"/>
        <v>0</v>
      </c>
      <c r="AV20" s="498">
        <f t="shared" si="18"/>
        <v>0</v>
      </c>
      <c r="AW20" s="498">
        <f t="shared" si="18"/>
        <v>0</v>
      </c>
      <c r="AX20" s="498">
        <f t="shared" si="18"/>
        <v>0</v>
      </c>
      <c r="AY20" s="498">
        <f t="shared" si="18"/>
        <v>0</v>
      </c>
      <c r="AZ20" s="498">
        <f t="shared" si="18"/>
        <v>176001.06935999999</v>
      </c>
      <c r="BA20" s="498">
        <f t="shared" si="18"/>
        <v>0</v>
      </c>
      <c r="BB20" s="498">
        <f t="shared" si="18"/>
        <v>0</v>
      </c>
      <c r="BC20" s="498">
        <f t="shared" si="18"/>
        <v>0</v>
      </c>
      <c r="BD20" s="498">
        <f t="shared" si="18"/>
        <v>0</v>
      </c>
      <c r="BE20" s="498">
        <f t="shared" si="18"/>
        <v>0</v>
      </c>
      <c r="BF20" s="498">
        <f t="shared" si="18"/>
        <v>537941.05000000005</v>
      </c>
      <c r="BG20" s="498">
        <f t="shared" si="18"/>
        <v>0</v>
      </c>
      <c r="BH20" s="498">
        <f t="shared" si="18"/>
        <v>13669230.819359999</v>
      </c>
      <c r="BI20" s="500"/>
      <c r="BJ20" s="501"/>
      <c r="BK20" s="498">
        <f>ROUND(BH20/E20,2)</f>
        <v>323.79000000000002</v>
      </c>
      <c r="BL20" s="633">
        <f t="shared" ref="BL20:BQ20" si="19">BL16+BL19</f>
        <v>9231927.4199999999</v>
      </c>
      <c r="BM20" s="633">
        <f t="shared" si="19"/>
        <v>2748545.23</v>
      </c>
      <c r="BN20" s="633">
        <f t="shared" si="19"/>
        <v>901341</v>
      </c>
      <c r="BO20" s="633">
        <f t="shared" si="19"/>
        <v>537941.05000000005</v>
      </c>
      <c r="BP20" s="633">
        <f t="shared" si="19"/>
        <v>249476.11936000001</v>
      </c>
      <c r="BQ20" s="633">
        <f t="shared" si="19"/>
        <v>13669230.819360001</v>
      </c>
      <c r="BR20" s="593">
        <f>BL20+'0902 Пр.2(7)мед освид'!BK17</f>
        <v>10497647.42</v>
      </c>
      <c r="BS20" s="593">
        <f>BM20+'0902 Пр.2(7)мед освид'!BL17</f>
        <v>3130792.23</v>
      </c>
      <c r="BT20" s="593">
        <f>BN20+'0902 Пр.2(7)мед освид'!BM17</f>
        <v>1039609</v>
      </c>
      <c r="BU20" s="593">
        <f>BO20+'0902 Пр.2(7)мед освид'!BN17</f>
        <v>620441.05000000005</v>
      </c>
      <c r="BV20" s="593">
        <f>BP20+'0902 Пр.2(7)мед освид'!BO17</f>
        <v>283405.08435999998</v>
      </c>
      <c r="BW20" s="16">
        <f>BQ20+'0902 Пр.2(7)мед освид'!BP17</f>
        <v>15571894.784360001</v>
      </c>
      <c r="BX20" s="16" t="e">
        <f>BR20+'0902 Пр.2(7)мед освид'!#REF!</f>
        <v>#REF!</v>
      </c>
      <c r="BY20" s="16"/>
      <c r="BZ20" s="16"/>
      <c r="CA20" s="16"/>
      <c r="CB20" s="16"/>
      <c r="CC20" s="16"/>
    </row>
    <row r="21" spans="1:84" ht="62.25" customHeight="1">
      <c r="A21" s="648" t="s">
        <v>194</v>
      </c>
      <c r="B21" s="648" t="s">
        <v>197</v>
      </c>
      <c r="C21" s="648" t="s">
        <v>189</v>
      </c>
      <c r="D21" s="9" t="s">
        <v>190</v>
      </c>
      <c r="E21" s="313">
        <v>13807</v>
      </c>
      <c r="F21" s="851" t="s">
        <v>224</v>
      </c>
      <c r="G21" s="8">
        <f t="shared" si="0"/>
        <v>906.37599999999998</v>
      </c>
      <c r="H21" s="8">
        <f>ROUND((X21+Y21)/E21,3)</f>
        <v>490.23599999999999</v>
      </c>
      <c r="I21" s="8">
        <f t="shared" ref="I21:I31" si="20">G21+H21</f>
        <v>1396.6120000000001</v>
      </c>
      <c r="J21" s="486">
        <f t="shared" si="14"/>
        <v>6.4189999999999996</v>
      </c>
      <c r="K21" s="450">
        <f>ROUND((AM21+AN21+AO21+AP21+AQ21)/E21,3)</f>
        <v>8.734</v>
      </c>
      <c r="L21" s="450">
        <f t="shared" si="16"/>
        <v>10.686999999999999</v>
      </c>
      <c r="M21" s="450">
        <f>ROUND((AZ21+BA21)/E21,3)</f>
        <v>1.839</v>
      </c>
      <c r="N21" s="452">
        <f t="shared" si="2"/>
        <v>0</v>
      </c>
      <c r="O21" s="452">
        <f t="shared" ref="O21:O28" si="21">ROUND(BF21/E21,2)</f>
        <v>8.9</v>
      </c>
      <c r="P21" s="488">
        <f t="shared" si="15"/>
        <v>0.72399999999999998</v>
      </c>
      <c r="Q21" s="8">
        <f t="shared" ref="Q21:Q31" si="22">P21+O21+N21+M21+L21+K21+J21+I21</f>
        <v>1433.915</v>
      </c>
      <c r="R21" s="8">
        <f>ROUND((Z21+AA21+AC21)/E21,2)</f>
        <v>15.68</v>
      </c>
      <c r="S21" s="8">
        <f>ROUND(AX21/E21,3)</f>
        <v>0.36199999999999999</v>
      </c>
      <c r="T21" s="39">
        <f t="shared" ref="T21:T69" si="23">Q21+R21+S21</f>
        <v>1449.9570000000001</v>
      </c>
      <c r="U21" s="671" t="s">
        <v>224</v>
      </c>
      <c r="V21" s="15">
        <v>9487745</v>
      </c>
      <c r="W21" s="15">
        <f>ROUND(V21*0.319,0)</f>
        <v>3026591</v>
      </c>
      <c r="X21" s="15">
        <f>146377.62+4985300</f>
        <v>5131677.62</v>
      </c>
      <c r="Y21" s="15">
        <f t="shared" ref="W21:Y25" si="24">ROUND(X21*0.319,0)</f>
        <v>1637005</v>
      </c>
      <c r="Z21" s="15">
        <f>92732.5-13579</f>
        <v>79153.5</v>
      </c>
      <c r="AA21" s="15">
        <f>150676-19688</f>
        <v>130988</v>
      </c>
      <c r="AB21" s="15"/>
      <c r="AC21" s="15">
        <f>7441-1059</f>
        <v>6382</v>
      </c>
      <c r="AD21" s="15">
        <v>9360</v>
      </c>
      <c r="AE21" s="15"/>
      <c r="AF21" s="15">
        <v>7267.2</v>
      </c>
      <c r="AG21" s="15"/>
      <c r="AH21" s="15"/>
      <c r="AI21" s="15">
        <v>70000</v>
      </c>
      <c r="AJ21" s="15">
        <v>2000</v>
      </c>
      <c r="AK21" s="15">
        <v>10000</v>
      </c>
      <c r="AL21" s="15">
        <f>SUM(AD21:AK21)</f>
        <v>98627.199999999997</v>
      </c>
      <c r="AM21" s="15">
        <v>54000</v>
      </c>
      <c r="AN21" s="15"/>
      <c r="AO21" s="15"/>
      <c r="AP21" s="15">
        <v>2300</v>
      </c>
      <c r="AQ21" s="15">
        <v>64290</v>
      </c>
      <c r="AR21" s="705" t="s">
        <v>224</v>
      </c>
      <c r="AS21" s="15"/>
      <c r="AT21" s="321">
        <v>31941</v>
      </c>
      <c r="AU21" s="321">
        <v>115619</v>
      </c>
      <c r="AV21" s="15"/>
      <c r="AW21" s="15"/>
      <c r="AX21" s="321">
        <v>5000</v>
      </c>
      <c r="AY21" s="15"/>
      <c r="AZ21" s="321">
        <v>19305</v>
      </c>
      <c r="BA21" s="321">
        <v>6084</v>
      </c>
      <c r="BB21" s="15"/>
      <c r="BC21" s="15"/>
      <c r="BD21" s="15"/>
      <c r="BE21" s="15"/>
      <c r="BF21" s="321">
        <v>122850</v>
      </c>
      <c r="BG21" s="15"/>
      <c r="BH21" s="15">
        <f>V21+W21+X21+Y21+Z21+AA21+AC21+AL21+AM21+AN21+AO21+AP21+AS21+AT21+AU21+AV21+AW21+AX21+AY21+AZ21+BA21+BB21+BC21+BD21+BE21+BF21+BG21+AQ21</f>
        <v>20019558.32</v>
      </c>
      <c r="BI21" s="15"/>
      <c r="BJ21" s="15"/>
      <c r="BK21" s="24">
        <f>ROUND(BH21/E21,3)</f>
        <v>1449.9570000000001</v>
      </c>
      <c r="BL21" s="76">
        <f t="shared" ref="BL21:BM25" si="25">V21+X21</f>
        <v>14619422.620000001</v>
      </c>
      <c r="BM21" s="76">
        <f t="shared" si="25"/>
        <v>4663596</v>
      </c>
      <c r="BN21" s="76">
        <f>Z21+AA21+AC21</f>
        <v>216523.5</v>
      </c>
      <c r="BO21" s="76">
        <f>BF21</f>
        <v>122850</v>
      </c>
      <c r="BP21" s="211">
        <f>BG21+AL21+AM21+AN21+AO21+AP21+AQ21+AS21+AT21+AU21+AV21+AW21+AX21+AY21+AZ21+BA21+BB21+BC21+BD21</f>
        <v>397166.2</v>
      </c>
      <c r="BQ21" s="92">
        <f>BL21+BM21+BN21+BO21+BP21</f>
        <v>20019558.32</v>
      </c>
      <c r="BR21" s="16"/>
      <c r="BS21" s="16"/>
      <c r="BT21" s="16"/>
    </row>
    <row r="22" spans="1:84" ht="15" hidden="1" customHeight="1" outlineLevel="1">
      <c r="A22" s="789"/>
      <c r="B22" s="660"/>
      <c r="C22" s="660"/>
      <c r="D22" s="9" t="s">
        <v>191</v>
      </c>
      <c r="E22" s="313"/>
      <c r="F22" s="903"/>
      <c r="G22" s="8" t="e">
        <f t="shared" si="0"/>
        <v>#DIV/0!</v>
      </c>
      <c r="H22" s="8" t="e">
        <f>ROUND((X22+Y22)/E22,2)</f>
        <v>#DIV/0!</v>
      </c>
      <c r="I22" s="8" t="e">
        <f t="shared" si="20"/>
        <v>#DIV/0!</v>
      </c>
      <c r="J22" s="8" t="e">
        <f>ROUND(AL22/E22,3)</f>
        <v>#DIV/0!</v>
      </c>
      <c r="K22" s="8" t="e">
        <f>ROUND((AM22+AN22+AO22+AP22+AQ22)/E22,2)</f>
        <v>#DIV/0!</v>
      </c>
      <c r="L22" s="8" t="e">
        <f t="shared" si="16"/>
        <v>#DIV/0!</v>
      </c>
      <c r="M22" s="8" t="e">
        <f>ROUND((AZ22+BA22)/E22,2)</f>
        <v>#DIV/0!</v>
      </c>
      <c r="N22" s="11" t="e">
        <f t="shared" si="2"/>
        <v>#DIV/0!</v>
      </c>
      <c r="O22" s="11" t="e">
        <f t="shared" si="21"/>
        <v>#DIV/0!</v>
      </c>
      <c r="P22" s="11" t="e">
        <f>ROUND(BG22/E22,2)</f>
        <v>#DIV/0!</v>
      </c>
      <c r="Q22" s="8" t="e">
        <f t="shared" si="22"/>
        <v>#DIV/0!</v>
      </c>
      <c r="R22" s="8" t="e">
        <f>ROUND((Z22+AA22+AC22)/E22,2)</f>
        <v>#DIV/0!</v>
      </c>
      <c r="S22" s="8" t="e">
        <f t="shared" si="3"/>
        <v>#DIV/0!</v>
      </c>
      <c r="T22" s="39" t="e">
        <f t="shared" si="23"/>
        <v>#DIV/0!</v>
      </c>
      <c r="U22" s="660"/>
      <c r="V22" s="15"/>
      <c r="W22" s="15">
        <f t="shared" si="24"/>
        <v>0</v>
      </c>
      <c r="X22" s="15"/>
      <c r="Y22" s="15">
        <f t="shared" si="24"/>
        <v>0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>
        <f>SUM(AD22:AK22)</f>
        <v>0</v>
      </c>
      <c r="AM22" s="15"/>
      <c r="AN22" s="15"/>
      <c r="AO22" s="15"/>
      <c r="AP22" s="15"/>
      <c r="AQ22" s="15"/>
      <c r="AR22" s="899"/>
      <c r="AS22" s="15"/>
      <c r="AT22" s="321"/>
      <c r="AU22" s="321">
        <v>0</v>
      </c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321"/>
      <c r="BG22" s="15"/>
      <c r="BH22" s="15">
        <f>V22+W22+X22+Y22+Z22+AA22+AC22+AL22+AM22+AN22+AO22+AP22+AS22+AT22+AU22+AV22+AW22+AX22+AY22+AZ22+BA22+BB22+BC22+BD22+BE22+BF22+BG22+AQ22</f>
        <v>0</v>
      </c>
      <c r="BI22" s="15"/>
      <c r="BJ22" s="15"/>
      <c r="BK22" s="24" t="e">
        <f t="shared" ref="BK22:BK44" si="26">ROUND(BH22/E22,2)</f>
        <v>#DIV/0!</v>
      </c>
      <c r="BL22" s="76">
        <f t="shared" si="25"/>
        <v>0</v>
      </c>
      <c r="BM22" s="76">
        <f t="shared" si="25"/>
        <v>0</v>
      </c>
      <c r="BN22" s="76">
        <f>Z22+AA22+AC22</f>
        <v>0</v>
      </c>
      <c r="BO22" s="76">
        <f>BF22</f>
        <v>0</v>
      </c>
      <c r="BP22" s="211">
        <f>BG22+AL22+AM22+AN22+AO22+AP22+AQ22+AS22+AT22+AU22+AV22+AW22+AX22+AY22+AZ22+BA22+BB22+BC22+BD22</f>
        <v>0</v>
      </c>
      <c r="BQ22" s="92">
        <f>BL22+BM22+BN22+BO22+BP22</f>
        <v>0</v>
      </c>
    </row>
    <row r="23" spans="1:84" ht="15" hidden="1" customHeight="1" outlineLevel="1">
      <c r="A23" s="789"/>
      <c r="B23" s="660"/>
      <c r="C23" s="660"/>
      <c r="D23" s="9" t="s">
        <v>192</v>
      </c>
      <c r="E23" s="313"/>
      <c r="F23" s="903"/>
      <c r="G23" s="8" t="e">
        <f t="shared" si="0"/>
        <v>#DIV/0!</v>
      </c>
      <c r="H23" s="8" t="e">
        <f>ROUND((X23+Y23)/E23,2)</f>
        <v>#DIV/0!</v>
      </c>
      <c r="I23" s="8" t="e">
        <f t="shared" si="20"/>
        <v>#DIV/0!</v>
      </c>
      <c r="J23" s="8" t="e">
        <f>ROUND(AL23/E23,3)</f>
        <v>#DIV/0!</v>
      </c>
      <c r="K23" s="8" t="e">
        <f>ROUND((AM23+AN23+AO23+AP23+AQ23)/E23,2)</f>
        <v>#DIV/0!</v>
      </c>
      <c r="L23" s="8" t="e">
        <f t="shared" si="16"/>
        <v>#DIV/0!</v>
      </c>
      <c r="M23" s="8" t="e">
        <f>ROUND((AZ23+BA23)/E23,2)</f>
        <v>#DIV/0!</v>
      </c>
      <c r="N23" s="11" t="e">
        <f t="shared" si="2"/>
        <v>#DIV/0!</v>
      </c>
      <c r="O23" s="11" t="e">
        <f t="shared" si="21"/>
        <v>#DIV/0!</v>
      </c>
      <c r="P23" s="11" t="e">
        <f>ROUND(BG23/E23,2)</f>
        <v>#DIV/0!</v>
      </c>
      <c r="Q23" s="8" t="e">
        <f t="shared" si="22"/>
        <v>#DIV/0!</v>
      </c>
      <c r="R23" s="8" t="e">
        <f>ROUND((Z23+AA23+AC23)/E23,2)</f>
        <v>#DIV/0!</v>
      </c>
      <c r="S23" s="8" t="e">
        <f t="shared" si="3"/>
        <v>#DIV/0!</v>
      </c>
      <c r="T23" s="39" t="e">
        <f t="shared" si="23"/>
        <v>#DIV/0!</v>
      </c>
      <c r="U23" s="660"/>
      <c r="V23" s="15"/>
      <c r="W23" s="15">
        <f t="shared" si="24"/>
        <v>0</v>
      </c>
      <c r="X23" s="15"/>
      <c r="Y23" s="15">
        <f t="shared" si="24"/>
        <v>0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>
        <f>SUM(AD23:AK23)</f>
        <v>0</v>
      </c>
      <c r="AM23" s="15"/>
      <c r="AN23" s="15"/>
      <c r="AO23" s="15"/>
      <c r="AP23" s="15"/>
      <c r="AQ23" s="15"/>
      <c r="AR23" s="899"/>
      <c r="AS23" s="15"/>
      <c r="AT23" s="321"/>
      <c r="AU23" s="321">
        <v>0</v>
      </c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321"/>
      <c r="BG23" s="15"/>
      <c r="BH23" s="15">
        <f>V23+W23+X23+Y23+Z23+AA23+AC23+AL23+AM23+AN23+AO23+AP23+AS23+AT23+AU23+AV23+AW23+AX23+AY23+AZ23+BA23+BB23+BC23+BD23+BE23+BF23+BG23+AQ23</f>
        <v>0</v>
      </c>
      <c r="BI23" s="15"/>
      <c r="BJ23" s="15"/>
      <c r="BK23" s="24" t="e">
        <f t="shared" si="26"/>
        <v>#DIV/0!</v>
      </c>
      <c r="BL23" s="76">
        <f t="shared" si="25"/>
        <v>0</v>
      </c>
      <c r="BM23" s="76">
        <f t="shared" si="25"/>
        <v>0</v>
      </c>
      <c r="BN23" s="76">
        <f>Z23+AA23+AC23</f>
        <v>0</v>
      </c>
      <c r="BO23" s="76">
        <f>BF23</f>
        <v>0</v>
      </c>
      <c r="BP23" s="211">
        <f>BG23+AL23+AM23+AN23+AO23+AP23+AQ23+AS23+AT23+AU23+AV23+AW23+AX23+AY23+AZ23+BA23+BB23+BC23+BD23</f>
        <v>0</v>
      </c>
      <c r="BQ23" s="92">
        <f>BL23+BM23+BN23+BO23+BP23</f>
        <v>0</v>
      </c>
    </row>
    <row r="24" spans="1:84" ht="15" hidden="1" customHeight="1" outlineLevel="1">
      <c r="A24" s="789"/>
      <c r="B24" s="649"/>
      <c r="C24" s="649"/>
      <c r="D24" s="9" t="s">
        <v>193</v>
      </c>
      <c r="E24" s="313"/>
      <c r="F24" s="903"/>
      <c r="G24" s="8" t="e">
        <f t="shared" si="0"/>
        <v>#DIV/0!</v>
      </c>
      <c r="H24" s="8" t="e">
        <f>ROUND((X24+Y24)/E24,2)</f>
        <v>#DIV/0!</v>
      </c>
      <c r="I24" s="8" t="e">
        <f t="shared" si="20"/>
        <v>#DIV/0!</v>
      </c>
      <c r="J24" s="8" t="e">
        <f>ROUND(AL24/E24,3)</f>
        <v>#DIV/0!</v>
      </c>
      <c r="K24" s="8" t="e">
        <f>ROUND((AM24+AN24+AO24+AP24+AQ24)/E24,2)</f>
        <v>#DIV/0!</v>
      </c>
      <c r="L24" s="8" t="e">
        <f t="shared" si="16"/>
        <v>#DIV/0!</v>
      </c>
      <c r="M24" s="8" t="e">
        <f>ROUND((AZ24+BA24)/E24,2)</f>
        <v>#DIV/0!</v>
      </c>
      <c r="N24" s="11" t="e">
        <f t="shared" si="2"/>
        <v>#DIV/0!</v>
      </c>
      <c r="O24" s="11" t="e">
        <f t="shared" si="21"/>
        <v>#DIV/0!</v>
      </c>
      <c r="P24" s="11" t="e">
        <f>ROUND(BG24/E24,2)</f>
        <v>#DIV/0!</v>
      </c>
      <c r="Q24" s="8" t="e">
        <f t="shared" si="22"/>
        <v>#DIV/0!</v>
      </c>
      <c r="R24" s="8" t="e">
        <f>ROUND((Z24+AA24+AC24)/E24,2)</f>
        <v>#DIV/0!</v>
      </c>
      <c r="S24" s="8" t="e">
        <f t="shared" si="3"/>
        <v>#DIV/0!</v>
      </c>
      <c r="T24" s="39" t="e">
        <f t="shared" si="23"/>
        <v>#DIV/0!</v>
      </c>
      <c r="U24" s="660"/>
      <c r="V24" s="15"/>
      <c r="W24" s="15">
        <f t="shared" si="24"/>
        <v>0</v>
      </c>
      <c r="X24" s="15"/>
      <c r="Y24" s="15">
        <f t="shared" si="24"/>
        <v>0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>
        <f>SUM(AD24:AK24)</f>
        <v>0</v>
      </c>
      <c r="AM24" s="15"/>
      <c r="AN24" s="15"/>
      <c r="AO24" s="15"/>
      <c r="AP24" s="15"/>
      <c r="AQ24" s="15"/>
      <c r="AR24" s="899"/>
      <c r="AS24" s="15"/>
      <c r="AT24" s="321"/>
      <c r="AU24" s="321">
        <v>0</v>
      </c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321"/>
      <c r="BG24" s="15"/>
      <c r="BH24" s="15">
        <f>V24+W24+X24+Y24+Z24+AA24+AC24+AL24+AM24+AN24+AO24+AP24+AS24+AT24+AU24+AV24+AW24+AX24+AY24+AZ24+BA24+BB24+BC24+BD24+BE24+BF24+BG24+AQ24</f>
        <v>0</v>
      </c>
      <c r="BI24" s="15"/>
      <c r="BJ24" s="15"/>
      <c r="BK24" s="24" t="e">
        <f t="shared" si="26"/>
        <v>#DIV/0!</v>
      </c>
      <c r="BL24" s="76">
        <f t="shared" si="25"/>
        <v>0</v>
      </c>
      <c r="BM24" s="76">
        <f t="shared" si="25"/>
        <v>0</v>
      </c>
      <c r="BN24" s="76">
        <f>Z24+AA24+AC24</f>
        <v>0</v>
      </c>
      <c r="BO24" s="76">
        <f>BF24</f>
        <v>0</v>
      </c>
      <c r="BP24" s="211">
        <f>BG24+AL24+AM24+AN24+AO24+AP24+AQ24+AS24+AT24+AU24+AV24+AW24+AX24+AY24+AZ24+BA24+BB24+BC24+BD24</f>
        <v>0</v>
      </c>
      <c r="BQ24" s="92">
        <f>BL24+BM24+BN24+BO24+BP24</f>
        <v>0</v>
      </c>
    </row>
    <row r="25" spans="1:84" ht="60" customHeight="1" collapsed="1">
      <c r="A25" s="649"/>
      <c r="B25" s="9" t="s">
        <v>198</v>
      </c>
      <c r="C25" s="9" t="s">
        <v>196</v>
      </c>
      <c r="D25" s="9"/>
      <c r="E25" s="313">
        <v>23669</v>
      </c>
      <c r="F25" s="904"/>
      <c r="G25" s="8">
        <f t="shared" si="0"/>
        <v>294.47500000000002</v>
      </c>
      <c r="H25" s="8">
        <f>ROUND((X25+Y25)/E25,3)</f>
        <v>143.11699999999999</v>
      </c>
      <c r="I25" s="8">
        <f t="shared" si="20"/>
        <v>437.59199999999998</v>
      </c>
      <c r="J25" s="486">
        <f>ROUND((AL25-AK25)/E25,3)</f>
        <v>0.21099999999999999</v>
      </c>
      <c r="K25" s="450">
        <f>ROUND((AM25+AN25+AO25+AP25+AQ25)/E25,3)</f>
        <v>1.925</v>
      </c>
      <c r="L25" s="450">
        <f t="shared" si="16"/>
        <v>3.016</v>
      </c>
      <c r="M25" s="450">
        <f>ROUND((AZ25+BA25)/E25,3)</f>
        <v>0</v>
      </c>
      <c r="N25" s="452">
        <f t="shared" si="2"/>
        <v>0</v>
      </c>
      <c r="O25" s="452">
        <f t="shared" si="21"/>
        <v>2.2200000000000002</v>
      </c>
      <c r="P25" s="488">
        <f>ROUND(AK25/E25,3)</f>
        <v>0.21099999999999999</v>
      </c>
      <c r="Q25" s="8">
        <f t="shared" si="22"/>
        <v>445.17500000000001</v>
      </c>
      <c r="R25" s="8">
        <f>ROUND((Z25+AA25+AC25)/E25,3)</f>
        <v>4.5419999999999998</v>
      </c>
      <c r="S25" s="8">
        <f t="shared" si="3"/>
        <v>0</v>
      </c>
      <c r="T25" s="39">
        <f t="shared" si="23"/>
        <v>449.71699999999998</v>
      </c>
      <c r="U25" s="649"/>
      <c r="V25" s="15">
        <v>5277419</v>
      </c>
      <c r="W25" s="15">
        <v>1692516.77</v>
      </c>
      <c r="X25" s="15">
        <v>2568190</v>
      </c>
      <c r="Y25" s="15">
        <f t="shared" si="24"/>
        <v>819253</v>
      </c>
      <c r="Z25" s="15">
        <v>39744</v>
      </c>
      <c r="AA25" s="15">
        <v>64577</v>
      </c>
      <c r="AB25" s="15"/>
      <c r="AC25" s="15">
        <v>3190</v>
      </c>
      <c r="AD25" s="15">
        <v>2340</v>
      </c>
      <c r="AE25" s="15"/>
      <c r="AF25" s="15">
        <v>2000</v>
      </c>
      <c r="AG25" s="15"/>
      <c r="AH25" s="15"/>
      <c r="AI25" s="15"/>
      <c r="AJ25" s="15">
        <v>660.5</v>
      </c>
      <c r="AK25" s="15">
        <v>5000</v>
      </c>
      <c r="AL25" s="15">
        <f>SUM(AD25:AK25)</f>
        <v>10000.5</v>
      </c>
      <c r="AM25" s="15">
        <v>18000</v>
      </c>
      <c r="AN25" s="15"/>
      <c r="AO25" s="15"/>
      <c r="AP25" s="15"/>
      <c r="AQ25" s="15">
        <v>27553</v>
      </c>
      <c r="AR25" s="905"/>
      <c r="AS25" s="15"/>
      <c r="AT25" s="321">
        <v>13689</v>
      </c>
      <c r="AU25" s="321">
        <v>57686</v>
      </c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321">
        <v>52648</v>
      </c>
      <c r="BG25" s="15"/>
      <c r="BH25" s="15">
        <f>V25+W25+X25+Y25+Z25+AA25+AC25+AL25+AM25+AN25+AO25+AP25+AS25+AT25+AU25+AV25+AW25+AX25+AY25+AZ25+BA25+BB25+BC25+BD25+BE25+BF25+BG25+AQ25</f>
        <v>10644466.27</v>
      </c>
      <c r="BI25" s="15"/>
      <c r="BJ25" s="15"/>
      <c r="BK25" s="24">
        <f t="shared" si="26"/>
        <v>449.72</v>
      </c>
      <c r="BL25" s="76">
        <f t="shared" si="25"/>
        <v>7845609</v>
      </c>
      <c r="BM25" s="76">
        <f t="shared" si="25"/>
        <v>2511769.77</v>
      </c>
      <c r="BN25" s="76">
        <f>Z25+AA25+AC25</f>
        <v>107511</v>
      </c>
      <c r="BO25" s="76">
        <f>BF25</f>
        <v>52648</v>
      </c>
      <c r="BP25" s="211">
        <f>BG25+AL25+AM25+AN25+AO25+AP25+AQ25+AS25+AT25+AU25+AV25+AW25+AX25+AY25+AZ25+BA25+BB25+BC25+BD25</f>
        <v>126928.5</v>
      </c>
      <c r="BQ25" s="92">
        <f>BL25+BM25+BN25+BO25+BP25</f>
        <v>10644466.27</v>
      </c>
    </row>
    <row r="26" spans="1:84" ht="30" customHeight="1">
      <c r="A26" s="493" t="s">
        <v>256</v>
      </c>
      <c r="B26" s="493"/>
      <c r="C26" s="493" t="s">
        <v>252</v>
      </c>
      <c r="D26" s="494"/>
      <c r="E26" s="495">
        <v>78895</v>
      </c>
      <c r="F26" s="496"/>
      <c r="G26" s="489">
        <f t="shared" si="0"/>
        <v>246.965</v>
      </c>
      <c r="H26" s="489">
        <f>ROUND((X26+Y26)/E26,3)</f>
        <v>128.72999999999999</v>
      </c>
      <c r="I26" s="489">
        <f t="shared" si="20"/>
        <v>375.69499999999999</v>
      </c>
      <c r="J26" s="490">
        <f>ROUND((AL26-AK26)/E26,3)</f>
        <v>1.1870000000000001</v>
      </c>
      <c r="K26" s="489">
        <f>ROUND((AM26+AN26+AO26+AP26+AQ26)/E26,3)</f>
        <v>2.1059999999999999</v>
      </c>
      <c r="L26" s="489">
        <f t="shared" si="16"/>
        <v>2.7749999999999999</v>
      </c>
      <c r="M26" s="489">
        <f>ROUND((AZ26+BA26)/E26,3)</f>
        <v>0.32200000000000001</v>
      </c>
      <c r="N26" s="491">
        <f t="shared" si="2"/>
        <v>0</v>
      </c>
      <c r="O26" s="491">
        <f t="shared" si="21"/>
        <v>2.2200000000000002</v>
      </c>
      <c r="P26" s="492">
        <f>ROUND(AK26/E26,3)</f>
        <v>0.19</v>
      </c>
      <c r="Q26" s="489">
        <f t="shared" si="22"/>
        <v>384.495</v>
      </c>
      <c r="R26" s="489">
        <f>ROUND((Z26+AA26+AC26)/E26,3)</f>
        <v>4.1070000000000002</v>
      </c>
      <c r="S26" s="489">
        <f t="shared" si="3"/>
        <v>0.06</v>
      </c>
      <c r="T26" s="489">
        <f t="shared" si="23"/>
        <v>388.66200000000003</v>
      </c>
      <c r="U26" s="497"/>
      <c r="V26" s="498">
        <f t="shared" ref="V26:AQ26" si="27">V21+V22+V23+V24+V25</f>
        <v>14765164</v>
      </c>
      <c r="W26" s="498">
        <f t="shared" si="27"/>
        <v>4719107.7699999996</v>
      </c>
      <c r="X26" s="498">
        <f t="shared" si="27"/>
        <v>7699867.6200000001</v>
      </c>
      <c r="Y26" s="498">
        <f t="shared" si="27"/>
        <v>2456258</v>
      </c>
      <c r="Z26" s="498">
        <f t="shared" si="27"/>
        <v>118897.5</v>
      </c>
      <c r="AA26" s="498">
        <f t="shared" si="27"/>
        <v>195565</v>
      </c>
      <c r="AB26" s="498">
        <f t="shared" si="27"/>
        <v>0</v>
      </c>
      <c r="AC26" s="498">
        <f t="shared" si="27"/>
        <v>9572</v>
      </c>
      <c r="AD26" s="498">
        <f t="shared" si="27"/>
        <v>11700</v>
      </c>
      <c r="AE26" s="498">
        <f t="shared" si="27"/>
        <v>0</v>
      </c>
      <c r="AF26" s="498">
        <f t="shared" si="27"/>
        <v>9267.2000000000007</v>
      </c>
      <c r="AG26" s="498">
        <f t="shared" si="27"/>
        <v>0</v>
      </c>
      <c r="AH26" s="498">
        <f t="shared" si="27"/>
        <v>0</v>
      </c>
      <c r="AI26" s="498">
        <f t="shared" si="27"/>
        <v>70000</v>
      </c>
      <c r="AJ26" s="498">
        <f t="shared" si="27"/>
        <v>2660.5</v>
      </c>
      <c r="AK26" s="498">
        <f t="shared" si="27"/>
        <v>15000</v>
      </c>
      <c r="AL26" s="498">
        <f t="shared" si="27"/>
        <v>108627.7</v>
      </c>
      <c r="AM26" s="498">
        <f t="shared" si="27"/>
        <v>72000</v>
      </c>
      <c r="AN26" s="498">
        <f t="shared" si="27"/>
        <v>0</v>
      </c>
      <c r="AO26" s="498">
        <f t="shared" si="27"/>
        <v>0</v>
      </c>
      <c r="AP26" s="498">
        <f t="shared" si="27"/>
        <v>2300</v>
      </c>
      <c r="AQ26" s="498">
        <f t="shared" si="27"/>
        <v>91843</v>
      </c>
      <c r="AR26" s="499"/>
      <c r="AS26" s="498">
        <f t="shared" ref="AS26:BH26" si="28">AS21+AS22+AS23+AS24+AS25</f>
        <v>0</v>
      </c>
      <c r="AT26" s="498">
        <f t="shared" si="28"/>
        <v>45630</v>
      </c>
      <c r="AU26" s="498">
        <f t="shared" si="28"/>
        <v>173305</v>
      </c>
      <c r="AV26" s="498">
        <f t="shared" si="28"/>
        <v>0</v>
      </c>
      <c r="AW26" s="498">
        <f t="shared" si="28"/>
        <v>0</v>
      </c>
      <c r="AX26" s="498">
        <f t="shared" si="28"/>
        <v>5000</v>
      </c>
      <c r="AY26" s="498">
        <f t="shared" si="28"/>
        <v>0</v>
      </c>
      <c r="AZ26" s="498">
        <f t="shared" si="28"/>
        <v>19305</v>
      </c>
      <c r="BA26" s="498">
        <f t="shared" si="28"/>
        <v>6084</v>
      </c>
      <c r="BB26" s="498">
        <f t="shared" si="28"/>
        <v>0</v>
      </c>
      <c r="BC26" s="498">
        <f t="shared" si="28"/>
        <v>0</v>
      </c>
      <c r="BD26" s="498">
        <f t="shared" si="28"/>
        <v>0</v>
      </c>
      <c r="BE26" s="498">
        <f t="shared" si="28"/>
        <v>0</v>
      </c>
      <c r="BF26" s="498">
        <f t="shared" si="28"/>
        <v>175498</v>
      </c>
      <c r="BG26" s="498">
        <f t="shared" si="28"/>
        <v>0</v>
      </c>
      <c r="BH26" s="498">
        <f t="shared" si="28"/>
        <v>30664024.59</v>
      </c>
      <c r="BI26" s="500"/>
      <c r="BJ26" s="501"/>
      <c r="BK26" s="498">
        <f t="shared" si="26"/>
        <v>388.67</v>
      </c>
      <c r="BL26" s="633">
        <f t="shared" ref="BL26:BQ26" si="29">BL21+BL22+BL23+BL24+BL25</f>
        <v>22465031.620000001</v>
      </c>
      <c r="BM26" s="633">
        <f t="shared" si="29"/>
        <v>7175365.7699999996</v>
      </c>
      <c r="BN26" s="633">
        <f t="shared" si="29"/>
        <v>324034.5</v>
      </c>
      <c r="BO26" s="633">
        <f t="shared" si="29"/>
        <v>175498</v>
      </c>
      <c r="BP26" s="633">
        <f t="shared" si="29"/>
        <v>524094.7</v>
      </c>
      <c r="BQ26" s="633">
        <f t="shared" si="29"/>
        <v>30664024.59</v>
      </c>
      <c r="BR26" s="16">
        <f>BL26+'0902 Пр.2(7)мед освид'!BK21</f>
        <v>24211664.620000001</v>
      </c>
      <c r="BS26" s="16">
        <f>BM26+'0902 Пр.2(7)мед освид'!BL21</f>
        <v>7732541.7699999996</v>
      </c>
      <c r="BT26" s="16">
        <f>BN26+'0902 Пр.2(7)мед освид'!BM21</f>
        <v>358360.5</v>
      </c>
      <c r="BU26" s="16">
        <f>BO26+'0902 Пр.2(7)мед освид'!BN21</f>
        <v>175498</v>
      </c>
      <c r="BV26" s="16">
        <f>BP26+'0902 Пр.2(7)мед освид'!BO21</f>
        <v>549508.5</v>
      </c>
      <c r="BW26" s="16">
        <f>BQ26+'0902 Пр.2(7)мед освид'!BP21</f>
        <v>33027573.390000001</v>
      </c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ht="15" hidden="1" customHeight="1" outlineLevel="1">
      <c r="A27" s="648" t="s">
        <v>194</v>
      </c>
      <c r="B27" s="658" t="s">
        <v>197</v>
      </c>
      <c r="C27" s="284" t="s">
        <v>189</v>
      </c>
      <c r="D27" s="192" t="s">
        <v>190</v>
      </c>
      <c r="E27" s="36">
        <v>0</v>
      </c>
      <c r="F27" s="671" t="s">
        <v>223</v>
      </c>
      <c r="G27" s="8" t="e">
        <f t="shared" si="0"/>
        <v>#DIV/0!</v>
      </c>
      <c r="H27" s="8" t="e">
        <f>ROUND((X27+Y27)/E27,2)</f>
        <v>#DIV/0!</v>
      </c>
      <c r="I27" s="8" t="e">
        <f t="shared" si="20"/>
        <v>#DIV/0!</v>
      </c>
      <c r="J27" s="8" t="e">
        <f>ROUND(AL27/E27,3)</f>
        <v>#DIV/0!</v>
      </c>
      <c r="K27" s="8" t="e">
        <f>ROUND((AM27+AN27+AO27+AP27+AQ27)/E27,2)</f>
        <v>#DIV/0!</v>
      </c>
      <c r="L27" s="8" t="e">
        <f>ROUND((AS27+AT27+AU27+AV27+AW27)/E27,2)</f>
        <v>#DIV/0!</v>
      </c>
      <c r="M27" s="8" t="e">
        <f>ROUND((AZ27+BA27)/E27,2)</f>
        <v>#DIV/0!</v>
      </c>
      <c r="N27" s="11" t="e">
        <f t="shared" si="2"/>
        <v>#DIV/0!</v>
      </c>
      <c r="O27" s="11" t="e">
        <f t="shared" si="21"/>
        <v>#DIV/0!</v>
      </c>
      <c r="P27" s="11" t="e">
        <f>ROUND(BG27/E27,2)</f>
        <v>#DIV/0!</v>
      </c>
      <c r="Q27" s="8" t="e">
        <f t="shared" si="22"/>
        <v>#DIV/0!</v>
      </c>
      <c r="R27" s="8" t="e">
        <f t="shared" ref="R27:R69" si="30">ROUND((Z27+AA27+AC27)/E27,2)</f>
        <v>#DIV/0!</v>
      </c>
      <c r="S27" s="8" t="e">
        <f t="shared" si="3"/>
        <v>#DIV/0!</v>
      </c>
      <c r="T27" s="39" t="e">
        <f t="shared" ref="T27:T37" si="31">Q27+R27+S27</f>
        <v>#DIV/0!</v>
      </c>
      <c r="U27" s="671" t="s">
        <v>223</v>
      </c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705" t="s">
        <v>223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>
        <f>V27+W27+X27+Y27+Z27+AA27+AC27+AL27+AM27+AN27+AO27+AP27+AS27+AT27+AU27+AV27+AW27+AX27+AY27+AZ27+BA27+BB27+BC27+BD27+BE27+BF27+BG27+AQ27</f>
        <v>0</v>
      </c>
      <c r="BI27" s="15"/>
      <c r="BJ27" s="15"/>
      <c r="BK27" s="24" t="e">
        <f t="shared" si="26"/>
        <v>#DIV/0!</v>
      </c>
      <c r="BL27" s="92">
        <f t="shared" ref="BL27:BM31" si="32">V27+X27</f>
        <v>0</v>
      </c>
      <c r="BM27" s="92">
        <f t="shared" si="32"/>
        <v>0</v>
      </c>
      <c r="BN27" s="92">
        <f>Z27+AA27+AC27</f>
        <v>0</v>
      </c>
      <c r="BO27" s="92">
        <f>BF27</f>
        <v>0</v>
      </c>
      <c r="BP27" s="92">
        <f>BG27+AL27+AM27+AN27+AO27+AP27+AQ27+AS27+AT27+AU27+AV27+AW27+AX27+AY27+AZ27+BA27+BB27+BC27+BD27</f>
        <v>0</v>
      </c>
      <c r="BQ27" s="92">
        <f>BL27+BM27+BN27+BO27+BP27</f>
        <v>0</v>
      </c>
    </row>
    <row r="28" spans="1:84" ht="15" hidden="1" customHeight="1" outlineLevel="1">
      <c r="A28" s="789"/>
      <c r="B28" s="883"/>
      <c r="C28" s="456"/>
      <c r="D28" s="192" t="s">
        <v>191</v>
      </c>
      <c r="E28" s="36">
        <v>0</v>
      </c>
      <c r="F28" s="889"/>
      <c r="G28" s="8" t="e">
        <f t="shared" si="0"/>
        <v>#DIV/0!</v>
      </c>
      <c r="H28" s="8" t="e">
        <f>ROUND((X28+Y28)/E28,2)</f>
        <v>#DIV/0!</v>
      </c>
      <c r="I28" s="8" t="e">
        <f t="shared" si="20"/>
        <v>#DIV/0!</v>
      </c>
      <c r="J28" s="8" t="e">
        <f>ROUND(AL28/E28,3)</f>
        <v>#DIV/0!</v>
      </c>
      <c r="K28" s="8" t="e">
        <f>ROUND((AM28+AN28+AO28+AP28+AQ28)/E28,2)</f>
        <v>#DIV/0!</v>
      </c>
      <c r="L28" s="8" t="e">
        <f>ROUND((AS28+AT28+AU28+AV28+AW28)/E28,2)</f>
        <v>#DIV/0!</v>
      </c>
      <c r="M28" s="8" t="e">
        <f>ROUND((AZ28+BA28)/E28,2)</f>
        <v>#DIV/0!</v>
      </c>
      <c r="N28" s="11" t="e">
        <f t="shared" si="2"/>
        <v>#DIV/0!</v>
      </c>
      <c r="O28" s="11" t="e">
        <f t="shared" si="21"/>
        <v>#DIV/0!</v>
      </c>
      <c r="P28" s="11" t="e">
        <f>ROUND(BG28/E28,2)</f>
        <v>#DIV/0!</v>
      </c>
      <c r="Q28" s="8" t="e">
        <f t="shared" si="22"/>
        <v>#DIV/0!</v>
      </c>
      <c r="R28" s="8" t="e">
        <f t="shared" si="30"/>
        <v>#DIV/0!</v>
      </c>
      <c r="S28" s="8" t="e">
        <f t="shared" si="3"/>
        <v>#DIV/0!</v>
      </c>
      <c r="T28" s="39" t="e">
        <f t="shared" si="31"/>
        <v>#DIV/0!</v>
      </c>
      <c r="U28" s="883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901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>
        <f>V28+W28+X28+Y28+Z28+AA28+AC28+AL28+AM28+AN28+AO28+AP28+AS28+AT28+AU28+AV28+AW28+AX28+AY28+AZ28+BA28+BB28+BC28+BD28+BE28+BF28+BG28+AQ28</f>
        <v>0</v>
      </c>
      <c r="BI28" s="15"/>
      <c r="BJ28" s="15"/>
      <c r="BK28" s="24" t="e">
        <f t="shared" si="26"/>
        <v>#DIV/0!</v>
      </c>
      <c r="BL28" s="92">
        <f t="shared" si="32"/>
        <v>0</v>
      </c>
      <c r="BM28" s="92">
        <f t="shared" si="32"/>
        <v>0</v>
      </c>
      <c r="BN28" s="92">
        <f>Z28+AA28+AC28</f>
        <v>0</v>
      </c>
      <c r="BO28" s="92">
        <f>BF28</f>
        <v>0</v>
      </c>
      <c r="BP28" s="92">
        <f>BG28+AL28+AM28+AN28+AO28+AP28+AQ28+AS28+AT28+AU28+AV28+AW28+AX28+AY28+AZ28+BA28+BB28+BC28+BD28</f>
        <v>0</v>
      </c>
      <c r="BQ28" s="92">
        <f>BL28+BM28+BN28+BO28+BP28</f>
        <v>0</v>
      </c>
    </row>
    <row r="29" spans="1:84" ht="53.25" customHeight="1" collapsed="1">
      <c r="A29" s="789"/>
      <c r="B29" s="883"/>
      <c r="C29" s="456" t="s">
        <v>389</v>
      </c>
      <c r="D29" s="253" t="s">
        <v>226</v>
      </c>
      <c r="E29" s="334">
        <v>149141</v>
      </c>
      <c r="F29" s="889"/>
      <c r="G29" s="8">
        <f t="shared" si="0"/>
        <v>15.802</v>
      </c>
      <c r="H29" s="8">
        <f>ROUND((X29+Y29)/E29,3)</f>
        <v>8.1940000000000008</v>
      </c>
      <c r="I29" s="8">
        <f t="shared" si="20"/>
        <v>23.996000000000002</v>
      </c>
      <c r="J29" s="486">
        <f>ROUND((AL29-AK29)/E29,3)</f>
        <v>0.13200000000000001</v>
      </c>
      <c r="K29" s="450">
        <f>ROUND((AM29+AN29+AO29+AP29+AQ29)/E29,3)</f>
        <v>1.4999999999999999E-2</v>
      </c>
      <c r="L29" s="450">
        <f>ROUND((AS29+AT29+AU29+AV29+AW29)/E29,3)</f>
        <v>0.18</v>
      </c>
      <c r="M29" s="450">
        <f>ROUND((AZ29+BA29)/E29,3)</f>
        <v>0</v>
      </c>
      <c r="N29" s="452">
        <f t="shared" si="2"/>
        <v>0</v>
      </c>
      <c r="O29" s="452">
        <f>ROUND(BF29/E29,3)</f>
        <v>5.4260000000000002</v>
      </c>
      <c r="P29" s="488">
        <f>ROUND(AK29/E29,3)</f>
        <v>6.7000000000000004E-2</v>
      </c>
      <c r="Q29" s="8">
        <f t="shared" si="22"/>
        <v>29.816000000000003</v>
      </c>
      <c r="R29" s="8">
        <f>ROUND((Z29+AA29+AC29+AB29)/E29,3)</f>
        <v>1.268</v>
      </c>
      <c r="S29" s="8">
        <f t="shared" si="3"/>
        <v>0</v>
      </c>
      <c r="T29" s="39">
        <f t="shared" si="31"/>
        <v>31.084000000000003</v>
      </c>
      <c r="U29" s="883"/>
      <c r="V29" s="15">
        <v>1810066</v>
      </c>
      <c r="W29" s="15">
        <f>ROUND(V29*0.302,0)</f>
        <v>546640</v>
      </c>
      <c r="X29" s="15">
        <v>938657</v>
      </c>
      <c r="Y29" s="15">
        <f>ROUND(X29*0.302,0)</f>
        <v>283474</v>
      </c>
      <c r="Z29" s="15">
        <v>80258</v>
      </c>
      <c r="AA29" s="15">
        <v>72471</v>
      </c>
      <c r="AB29" s="15">
        <v>1042</v>
      </c>
      <c r="AC29" s="15">
        <v>35308</v>
      </c>
      <c r="AD29" s="15">
        <v>16650</v>
      </c>
      <c r="AE29" s="15"/>
      <c r="AF29" s="15"/>
      <c r="AG29" s="15">
        <v>3000</v>
      </c>
      <c r="AH29" s="15"/>
      <c r="AI29" s="15"/>
      <c r="AJ29" s="15"/>
      <c r="AK29" s="15">
        <v>10000</v>
      </c>
      <c r="AL29" s="15">
        <f>SUM(AD29:AK29)</f>
        <v>29650</v>
      </c>
      <c r="AM29" s="15">
        <v>1332</v>
      </c>
      <c r="AN29" s="15"/>
      <c r="AO29" s="15"/>
      <c r="AP29" s="15">
        <v>880</v>
      </c>
      <c r="AQ29" s="15"/>
      <c r="AR29" s="901"/>
      <c r="AS29" s="15">
        <v>5994</v>
      </c>
      <c r="AT29" s="15">
        <v>7407</v>
      </c>
      <c r="AU29" s="15">
        <v>2908</v>
      </c>
      <c r="AV29" s="15">
        <v>10475</v>
      </c>
      <c r="AW29" s="15"/>
      <c r="AX29" s="15"/>
      <c r="AY29" s="15"/>
      <c r="AZ29" s="15"/>
      <c r="BA29" s="15"/>
      <c r="BB29" s="15"/>
      <c r="BC29" s="15"/>
      <c r="BD29" s="15"/>
      <c r="BE29" s="15"/>
      <c r="BF29" s="15">
        <v>809267</v>
      </c>
      <c r="BG29" s="15"/>
      <c r="BH29" s="15">
        <f>V29+W29+X29+Y29+Z29+AA29+AC29+AL29+AM29+AN29+AO29+AP29+AS29+AT29+AU29+AV29+AW29+AX29+AY29+AZ29+BA29+BB29+BC29+BD29+BE29+BF29+BG29+AQ29+AB29</f>
        <v>4635829</v>
      </c>
      <c r="BI29" s="15"/>
      <c r="BJ29" s="15"/>
      <c r="BK29" s="24">
        <f t="shared" si="26"/>
        <v>31.08</v>
      </c>
      <c r="BL29" s="92">
        <f t="shared" si="32"/>
        <v>2748723</v>
      </c>
      <c r="BM29" s="92">
        <f>W29+Y29</f>
        <v>830114</v>
      </c>
      <c r="BN29" s="92">
        <f>Z29+AA29+AC29+AB29</f>
        <v>189079</v>
      </c>
      <c r="BO29" s="92">
        <f>BF29</f>
        <v>809267</v>
      </c>
      <c r="BP29" s="211">
        <f>BG29+AL29+AM29+AN29+AO29+AP29+AQ29+AS29+AT29+AU29+AV29+AW29+AX29+AY29+AZ29+BA29+BB29+BC29+BD29</f>
        <v>58646</v>
      </c>
      <c r="BQ29" s="92">
        <f>BL29+BM29+BN29+BO29+BP29</f>
        <v>4635829</v>
      </c>
      <c r="BS29" s="16"/>
      <c r="BT29" s="16"/>
      <c r="BU29" s="16"/>
    </row>
    <row r="30" spans="1:84" ht="57.75" customHeight="1">
      <c r="A30" s="789"/>
      <c r="B30" s="659"/>
      <c r="C30" s="9" t="s">
        <v>196</v>
      </c>
      <c r="D30" s="192" t="s">
        <v>193</v>
      </c>
      <c r="E30" s="313">
        <v>7626</v>
      </c>
      <c r="F30" s="889"/>
      <c r="G30" s="8">
        <f t="shared" si="0"/>
        <v>251.35300000000001</v>
      </c>
      <c r="H30" s="8">
        <f>ROUND((X30+Y30)/E30,3)</f>
        <v>130.91300000000001</v>
      </c>
      <c r="I30" s="8">
        <f t="shared" si="20"/>
        <v>382.26600000000002</v>
      </c>
      <c r="J30" s="486">
        <f>ROUND((AL30-AK30)/E30,3)</f>
        <v>3.4649999999999999</v>
      </c>
      <c r="K30" s="450">
        <f>ROUND((AM30+AN30+AO30+AP30+AQ30)/E30,3)</f>
        <v>0.75700000000000001</v>
      </c>
      <c r="L30" s="450">
        <f>ROUND((AS30+AT30+AU30+AV30+AW30)/E30,3)</f>
        <v>2.8530000000000002</v>
      </c>
      <c r="M30" s="450">
        <f>ROUND((AZ30+BA30)/E30,3)</f>
        <v>0</v>
      </c>
      <c r="N30" s="452">
        <f t="shared" si="2"/>
        <v>0</v>
      </c>
      <c r="O30" s="452">
        <f>ROUND(BF30/E30,3)</f>
        <v>7.2380000000000004</v>
      </c>
      <c r="P30" s="488">
        <f>ROUND(AK30/E30,3)</f>
        <v>1.482</v>
      </c>
      <c r="Q30" s="8">
        <f t="shared" si="22"/>
        <v>398.06100000000004</v>
      </c>
      <c r="R30" s="8">
        <f>ROUND((Z30+AA30+AC30+AB30)/E30,2)</f>
        <v>24.18</v>
      </c>
      <c r="S30" s="8">
        <f t="shared" si="3"/>
        <v>0</v>
      </c>
      <c r="T30" s="39">
        <f t="shared" si="31"/>
        <v>422.24100000000004</v>
      </c>
      <c r="U30" s="883"/>
      <c r="V30" s="15">
        <v>1472212</v>
      </c>
      <c r="W30" s="15">
        <f>ROUND(V30*0.302,0)</f>
        <v>444608</v>
      </c>
      <c r="X30" s="15">
        <v>766778</v>
      </c>
      <c r="Y30" s="15">
        <f>ROUND(X30*0.302,0)</f>
        <v>231567</v>
      </c>
      <c r="Z30" s="15">
        <v>65978</v>
      </c>
      <c r="AA30" s="15">
        <v>85854</v>
      </c>
      <c r="AB30" s="15"/>
      <c r="AC30" s="15">
        <v>32592</v>
      </c>
      <c r="AD30" s="15">
        <v>16650</v>
      </c>
      <c r="AE30" s="15"/>
      <c r="AF30" s="15"/>
      <c r="AG30" s="15">
        <v>7000</v>
      </c>
      <c r="AH30" s="15"/>
      <c r="AI30" s="15">
        <v>2775</v>
      </c>
      <c r="AJ30" s="15"/>
      <c r="AK30" s="15">
        <v>11300</v>
      </c>
      <c r="AL30" s="15">
        <f>SUM(AD30:AK30)</f>
        <v>37725</v>
      </c>
      <c r="AM30" s="15">
        <v>5772</v>
      </c>
      <c r="AN30" s="15"/>
      <c r="AO30" s="15"/>
      <c r="AP30" s="15"/>
      <c r="AQ30" s="15"/>
      <c r="AR30" s="901"/>
      <c r="AS30" s="15">
        <v>5217</v>
      </c>
      <c r="AT30" s="15">
        <v>4551</v>
      </c>
      <c r="AU30" s="15">
        <v>4551</v>
      </c>
      <c r="AV30" s="15">
        <v>7437</v>
      </c>
      <c r="AW30" s="15"/>
      <c r="AX30" s="15"/>
      <c r="AY30" s="15"/>
      <c r="AZ30" s="15"/>
      <c r="BA30" s="15"/>
      <c r="BB30" s="15"/>
      <c r="BC30" s="15"/>
      <c r="BD30" s="15"/>
      <c r="BE30" s="15"/>
      <c r="BF30" s="15">
        <v>55195</v>
      </c>
      <c r="BG30" s="15"/>
      <c r="BH30" s="15">
        <f>V30+W30+X30+Y30+Z30+AA30+AC30+AL30+AM30+AN30+AO30+AP30+AS30+AT30+AU30+AV30+AW30+AX30+AY30+AZ30+BA30+BB30+BC30+BD30+BE30+BF30+BG30+AQ30+AB30</f>
        <v>3220037</v>
      </c>
      <c r="BI30" s="15"/>
      <c r="BJ30" s="15"/>
      <c r="BK30" s="24">
        <f t="shared" si="26"/>
        <v>422.24</v>
      </c>
      <c r="BL30" s="92">
        <f t="shared" si="32"/>
        <v>2238990</v>
      </c>
      <c r="BM30" s="92">
        <f>W30+Y30</f>
        <v>676175</v>
      </c>
      <c r="BN30" s="92">
        <f>Z30+AA30+AC30+AB30</f>
        <v>184424</v>
      </c>
      <c r="BO30" s="92">
        <f>BF30</f>
        <v>55195</v>
      </c>
      <c r="BP30" s="211">
        <f>BG30+AL30+AM30+AN30+AO30+AP30+AQ30+AS30+AT30+AU30+AV30+AW30+AX30+AY30+AZ30+BA30+BB30+BC30+BD30</f>
        <v>65253</v>
      </c>
      <c r="BQ30" s="92">
        <f>BL30+BM30+BN30+BO30+BP30</f>
        <v>3220037</v>
      </c>
    </row>
    <row r="31" spans="1:84" ht="36" customHeight="1">
      <c r="A31" s="649"/>
      <c r="B31" s="192" t="s">
        <v>198</v>
      </c>
      <c r="C31" s="192" t="s">
        <v>196</v>
      </c>
      <c r="D31" s="192"/>
      <c r="E31" s="313">
        <v>11685</v>
      </c>
      <c r="F31" s="890"/>
      <c r="G31" s="8">
        <f t="shared" si="0"/>
        <v>101.413</v>
      </c>
      <c r="H31" s="8">
        <f>ROUND((X31+Y31)/E31,2)</f>
        <v>52.22</v>
      </c>
      <c r="I31" s="8">
        <f t="shared" si="20"/>
        <v>153.63299999999998</v>
      </c>
      <c r="J31" s="486">
        <f>ROUND((AL31-AK31)/E31,3)</f>
        <v>1.2070000000000001</v>
      </c>
      <c r="K31" s="450">
        <f>ROUND((AM31+AN31+AO31+AP31+AQ31)/E31,3)</f>
        <v>0.247</v>
      </c>
      <c r="L31" s="450">
        <f>ROUND((AS31+AT31+AU31+AV31+AW31)/E31,3)</f>
        <v>2.1190000000000002</v>
      </c>
      <c r="M31" s="450">
        <f>ROUND((AZ31+BA31)/E31,3)</f>
        <v>0</v>
      </c>
      <c r="N31" s="452">
        <f t="shared" si="2"/>
        <v>0</v>
      </c>
      <c r="O31" s="452">
        <f>ROUND(BF31/E31,3)</f>
        <v>2.3439999999999999</v>
      </c>
      <c r="P31" s="488">
        <f>ROUND(AK31/E31,3)</f>
        <v>0.48799999999999999</v>
      </c>
      <c r="Q31" s="8">
        <f t="shared" si="22"/>
        <v>160.03799999999998</v>
      </c>
      <c r="R31" s="8">
        <f>ROUND((Z31+AA31+AC31+AB31)/E31,2)</f>
        <v>9.06</v>
      </c>
      <c r="S31" s="8">
        <f t="shared" si="3"/>
        <v>0</v>
      </c>
      <c r="T31" s="39">
        <f t="shared" si="31"/>
        <v>169.09799999999998</v>
      </c>
      <c r="U31" s="659"/>
      <c r="V31" s="15">
        <v>910114.86</v>
      </c>
      <c r="W31" s="15">
        <v>274897.11</v>
      </c>
      <c r="X31" s="15">
        <v>468642</v>
      </c>
      <c r="Y31" s="15">
        <f>ROUND(X31*0.302,0)</f>
        <v>141530</v>
      </c>
      <c r="Z31" s="15">
        <v>40614</v>
      </c>
      <c r="AA31" s="15">
        <v>45575</v>
      </c>
      <c r="AB31" s="15"/>
      <c r="AC31" s="15">
        <v>19640</v>
      </c>
      <c r="AD31" s="15">
        <v>7560</v>
      </c>
      <c r="AE31" s="15"/>
      <c r="AF31" s="15"/>
      <c r="AG31" s="15">
        <v>4882</v>
      </c>
      <c r="AH31" s="15"/>
      <c r="AI31" s="15">
        <v>1665</v>
      </c>
      <c r="AJ31" s="15"/>
      <c r="AK31" s="15">
        <v>5700</v>
      </c>
      <c r="AL31" s="15">
        <f>SUM(AD31:AK31)</f>
        <v>19807</v>
      </c>
      <c r="AM31" s="15">
        <v>2886</v>
      </c>
      <c r="AN31" s="15"/>
      <c r="AO31" s="15"/>
      <c r="AP31" s="15"/>
      <c r="AQ31" s="15"/>
      <c r="AR31" s="902"/>
      <c r="AS31" s="15">
        <v>4331</v>
      </c>
      <c r="AT31" s="15">
        <v>4331</v>
      </c>
      <c r="AU31" s="15">
        <v>2442</v>
      </c>
      <c r="AV31" s="15">
        <v>13653</v>
      </c>
      <c r="AW31" s="15"/>
      <c r="AX31" s="15"/>
      <c r="AY31" s="15"/>
      <c r="AZ31" s="15"/>
      <c r="BA31" s="15"/>
      <c r="BB31" s="15"/>
      <c r="BC31" s="15"/>
      <c r="BD31" s="15"/>
      <c r="BE31" s="15"/>
      <c r="BF31" s="15">
        <v>27392</v>
      </c>
      <c r="BG31" s="15"/>
      <c r="BH31" s="15">
        <f>V31+W31+X31+Y31+Z31+AA31+AC31+AL31+AM31+AN31+AO31+AP31+AS31+AT31+AU31+AV31+AW31+AX31+AY31+AZ31+BA31+BB31+BC31+BD31+BE31+BF31+BG31+AQ31+AB31</f>
        <v>1975854.97</v>
      </c>
      <c r="BI31" s="15"/>
      <c r="BJ31" s="15"/>
      <c r="BK31" s="24">
        <f t="shared" si="26"/>
        <v>169.09</v>
      </c>
      <c r="BL31" s="92">
        <f t="shared" si="32"/>
        <v>1378756.8599999999</v>
      </c>
      <c r="BM31" s="92">
        <f t="shared" si="32"/>
        <v>416427.11</v>
      </c>
      <c r="BN31" s="92">
        <f>Z31+AA31+AC31+AB31</f>
        <v>105829</v>
      </c>
      <c r="BO31" s="92">
        <f>BF31</f>
        <v>27392</v>
      </c>
      <c r="BP31" s="211">
        <f>BG31+AL31+AM31+AN31+AO31+AP31+AQ31+AS31+AT31+AU31+AV31+AW31+AX31+AY31+AZ31+BA31+BB31+BC31+BD31</f>
        <v>47450</v>
      </c>
      <c r="BQ31" s="92">
        <f>BL31+BM31+BN31+BO31+BP31</f>
        <v>1975854.9699999997</v>
      </c>
    </row>
    <row r="32" spans="1:84" ht="29.25" customHeight="1">
      <c r="A32" s="493" t="s">
        <v>255</v>
      </c>
      <c r="B32" s="493"/>
      <c r="C32" s="493" t="s">
        <v>252</v>
      </c>
      <c r="D32" s="494"/>
      <c r="E32" s="495">
        <v>30750</v>
      </c>
      <c r="F32" s="496"/>
      <c r="G32" s="489">
        <f t="shared" si="0"/>
        <v>177.51300000000001</v>
      </c>
      <c r="H32" s="489">
        <f>ROUND((X32+Y32)/E32,3)</f>
        <v>92.054000000000002</v>
      </c>
      <c r="I32" s="489">
        <f t="shared" ref="I32:I37" si="33">G32+H32</f>
        <v>269.56700000000001</v>
      </c>
      <c r="J32" s="490">
        <f>ROUND((AL32-AK32)/E32,3)</f>
        <v>1.9570000000000001</v>
      </c>
      <c r="K32" s="489">
        <f>ROUND((AM32+AN32+AO32+AP32+AQ32)/E32,3)</f>
        <v>0.35299999999999998</v>
      </c>
      <c r="L32" s="489">
        <f>ROUND((AS32+AT32+AU32+AV32+AW32)/E32,3)</f>
        <v>2.3839999999999999</v>
      </c>
      <c r="M32" s="489">
        <f>ROUND((AZ32+BA32)/E32,3)</f>
        <v>0</v>
      </c>
      <c r="N32" s="491">
        <f t="shared" si="2"/>
        <v>0</v>
      </c>
      <c r="O32" s="491">
        <f>ROUND(BF32/E32,3)</f>
        <v>29.003</v>
      </c>
      <c r="P32" s="492">
        <f>ROUND(AK32/E32,3)</f>
        <v>0.878</v>
      </c>
      <c r="Q32" s="489">
        <f t="shared" ref="Q32:Q37" si="34">P32+O32+N32+M32+L32+K32+J32+I32</f>
        <v>304.142</v>
      </c>
      <c r="R32" s="489">
        <f>ROUND((Z32+AA32+AC32)/E32,3)</f>
        <v>15.554</v>
      </c>
      <c r="S32" s="489">
        <f t="shared" si="3"/>
        <v>0</v>
      </c>
      <c r="T32" s="489">
        <f t="shared" si="31"/>
        <v>319.69599999999997</v>
      </c>
      <c r="U32" s="497"/>
      <c r="V32" s="498">
        <f t="shared" ref="V32:AQ32" si="35">V27+V28+V29+V30+V31</f>
        <v>4192392.86</v>
      </c>
      <c r="W32" s="498">
        <f t="shared" si="35"/>
        <v>1266145.1099999999</v>
      </c>
      <c r="X32" s="498">
        <f t="shared" si="35"/>
        <v>2174077</v>
      </c>
      <c r="Y32" s="498">
        <f t="shared" si="35"/>
        <v>656571</v>
      </c>
      <c r="Z32" s="498">
        <f t="shared" si="35"/>
        <v>186850</v>
      </c>
      <c r="AA32" s="498">
        <f t="shared" si="35"/>
        <v>203900</v>
      </c>
      <c r="AB32" s="498">
        <f t="shared" si="35"/>
        <v>1042</v>
      </c>
      <c r="AC32" s="498">
        <f t="shared" si="35"/>
        <v>87540</v>
      </c>
      <c r="AD32" s="498">
        <f t="shared" si="35"/>
        <v>40860</v>
      </c>
      <c r="AE32" s="498">
        <f t="shared" si="35"/>
        <v>0</v>
      </c>
      <c r="AF32" s="498">
        <f t="shared" si="35"/>
        <v>0</v>
      </c>
      <c r="AG32" s="498">
        <f t="shared" si="35"/>
        <v>14882</v>
      </c>
      <c r="AH32" s="498">
        <f t="shared" si="35"/>
        <v>0</v>
      </c>
      <c r="AI32" s="498">
        <f t="shared" si="35"/>
        <v>4440</v>
      </c>
      <c r="AJ32" s="498">
        <f t="shared" si="35"/>
        <v>0</v>
      </c>
      <c r="AK32" s="498">
        <f t="shared" si="35"/>
        <v>27000</v>
      </c>
      <c r="AL32" s="498">
        <f>SUM(AD32:AK32)</f>
        <v>87182</v>
      </c>
      <c r="AM32" s="498">
        <f t="shared" si="35"/>
        <v>9990</v>
      </c>
      <c r="AN32" s="498">
        <f t="shared" si="35"/>
        <v>0</v>
      </c>
      <c r="AO32" s="498">
        <f t="shared" si="35"/>
        <v>0</v>
      </c>
      <c r="AP32" s="498">
        <f t="shared" si="35"/>
        <v>880</v>
      </c>
      <c r="AQ32" s="498">
        <f t="shared" si="35"/>
        <v>0</v>
      </c>
      <c r="AR32" s="499"/>
      <c r="AS32" s="498">
        <f t="shared" ref="AS32:BH32" si="36">AS27+AS28+AS29+AS30+AS31</f>
        <v>15542</v>
      </c>
      <c r="AT32" s="498">
        <f t="shared" si="36"/>
        <v>16289</v>
      </c>
      <c r="AU32" s="498">
        <f t="shared" si="36"/>
        <v>9901</v>
      </c>
      <c r="AV32" s="498">
        <f t="shared" si="36"/>
        <v>31565</v>
      </c>
      <c r="AW32" s="498">
        <f t="shared" si="36"/>
        <v>0</v>
      </c>
      <c r="AX32" s="498">
        <f t="shared" si="36"/>
        <v>0</v>
      </c>
      <c r="AY32" s="498">
        <f t="shared" si="36"/>
        <v>0</v>
      </c>
      <c r="AZ32" s="498">
        <f t="shared" si="36"/>
        <v>0</v>
      </c>
      <c r="BA32" s="498">
        <f t="shared" si="36"/>
        <v>0</v>
      </c>
      <c r="BB32" s="498">
        <f t="shared" si="36"/>
        <v>0</v>
      </c>
      <c r="BC32" s="498">
        <f t="shared" si="36"/>
        <v>0</v>
      </c>
      <c r="BD32" s="498">
        <f t="shared" si="36"/>
        <v>0</v>
      </c>
      <c r="BE32" s="498">
        <f t="shared" si="36"/>
        <v>0</v>
      </c>
      <c r="BF32" s="498">
        <f t="shared" si="36"/>
        <v>891854</v>
      </c>
      <c r="BG32" s="498">
        <f t="shared" si="36"/>
        <v>0</v>
      </c>
      <c r="BH32" s="498">
        <f t="shared" si="36"/>
        <v>9831720.9700000007</v>
      </c>
      <c r="BI32" s="500"/>
      <c r="BJ32" s="501"/>
      <c r="BK32" s="498">
        <f>ROUND(BH32/E32,3)</f>
        <v>319.73099999999999</v>
      </c>
      <c r="BL32" s="633">
        <f t="shared" ref="BL32:BQ32" si="37">BL27+BL28+BL29+BL30+BL31</f>
        <v>6366469.8599999994</v>
      </c>
      <c r="BM32" s="633">
        <f t="shared" si="37"/>
        <v>1922716.1099999999</v>
      </c>
      <c r="BN32" s="633">
        <f>BN27+BN28+BN29+BN30+BN31</f>
        <v>479332</v>
      </c>
      <c r="BO32" s="633">
        <f t="shared" si="37"/>
        <v>891854</v>
      </c>
      <c r="BP32" s="633">
        <f t="shared" si="37"/>
        <v>171349</v>
      </c>
      <c r="BQ32" s="633">
        <f t="shared" si="37"/>
        <v>9831720.9699999988</v>
      </c>
    </row>
    <row r="33" spans="1:81" ht="15" hidden="1" customHeight="1" outlineLevel="1">
      <c r="A33" s="648" t="s">
        <v>194</v>
      </c>
      <c r="B33" s="648" t="s">
        <v>197</v>
      </c>
      <c r="C33" s="648" t="s">
        <v>189</v>
      </c>
      <c r="D33" s="9" t="s">
        <v>190</v>
      </c>
      <c r="E33" s="10">
        <v>0</v>
      </c>
      <c r="F33" s="671" t="s">
        <v>225</v>
      </c>
      <c r="G33" s="8" t="e">
        <f t="shared" si="0"/>
        <v>#DIV/0!</v>
      </c>
      <c r="H33" s="8" t="e">
        <f>ROUND((X33+Y33)/E33,2)</f>
        <v>#DIV/0!</v>
      </c>
      <c r="I33" s="8" t="e">
        <f t="shared" si="33"/>
        <v>#DIV/0!</v>
      </c>
      <c r="J33" s="8" t="e">
        <f>ROUND(AL33/E33,3)</f>
        <v>#DIV/0!</v>
      </c>
      <c r="K33" s="8" t="e">
        <f>ROUND((AM33+AN33+AO33+AP33+AQ33)/E33,2)</f>
        <v>#DIV/0!</v>
      </c>
      <c r="L33" s="8" t="e">
        <f>ROUND((AS33+AT33+AU33+AV33+AW33)/E33,2)</f>
        <v>#DIV/0!</v>
      </c>
      <c r="M33" s="8" t="e">
        <f>ROUND((AZ33+BA33)/E33,2)</f>
        <v>#DIV/0!</v>
      </c>
      <c r="N33" s="11" t="e">
        <f t="shared" si="2"/>
        <v>#DIV/0!</v>
      </c>
      <c r="O33" s="11" t="e">
        <f>ROUND(BF33/E33,2)</f>
        <v>#DIV/0!</v>
      </c>
      <c r="P33" s="11" t="e">
        <f>ROUND(BG33/E33,2)</f>
        <v>#DIV/0!</v>
      </c>
      <c r="Q33" s="8" t="e">
        <f t="shared" si="34"/>
        <v>#DIV/0!</v>
      </c>
      <c r="R33" s="8" t="e">
        <f t="shared" si="30"/>
        <v>#DIV/0!</v>
      </c>
      <c r="S33" s="8" t="e">
        <f t="shared" si="3"/>
        <v>#DIV/0!</v>
      </c>
      <c r="T33" s="39" t="e">
        <f t="shared" si="31"/>
        <v>#DIV/0!</v>
      </c>
      <c r="U33" s="671" t="s">
        <v>225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>
        <f>SUM(AD33:AK33)</f>
        <v>0</v>
      </c>
      <c r="AM33" s="15"/>
      <c r="AN33" s="15"/>
      <c r="AO33" s="15"/>
      <c r="AP33" s="15"/>
      <c r="AQ33" s="15"/>
      <c r="AR33" s="705" t="s">
        <v>225</v>
      </c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>
        <f>V33+W33+X33+Y33+Z33+AA33+AC33+AL33+AM33+AN33+AO33+AP33+AS33+AT33+AU33+AV33+AW33+AX33+AY33+AZ33+BA33+BB33+BC33+BD33+BE33+BF33+BG33+AQ33</f>
        <v>0</v>
      </c>
      <c r="BI33" s="15"/>
      <c r="BJ33" s="15"/>
      <c r="BK33" s="24" t="e">
        <f t="shared" si="26"/>
        <v>#DIV/0!</v>
      </c>
      <c r="BL33" s="76">
        <f t="shared" ref="BL33:BM37" si="38">V33+X33</f>
        <v>0</v>
      </c>
      <c r="BM33" s="76">
        <f t="shared" si="38"/>
        <v>0</v>
      </c>
      <c r="BN33" s="76">
        <f>Z33+AA33+AC33</f>
        <v>0</v>
      </c>
      <c r="BO33" s="76">
        <f>BF33</f>
        <v>0</v>
      </c>
      <c r="BP33" s="76">
        <f>BG33+AL33+AM33+AN33+AO33+AP33+AQ33+AS33+AT33+AU33+AV33+AW33+AX33+AY33+AZ33+BA33+BB33+BC33+BD33</f>
        <v>0</v>
      </c>
      <c r="BQ33" s="92">
        <f>BL33+BM33+BN33+BO33+BP33</f>
        <v>0</v>
      </c>
    </row>
    <row r="34" spans="1:81" ht="15" hidden="1" customHeight="1" outlineLevel="1">
      <c r="A34" s="789"/>
      <c r="B34" s="660"/>
      <c r="C34" s="660"/>
      <c r="D34" s="9" t="s">
        <v>191</v>
      </c>
      <c r="E34" s="10">
        <v>0</v>
      </c>
      <c r="F34" s="884"/>
      <c r="G34" s="8" t="e">
        <f t="shared" si="0"/>
        <v>#DIV/0!</v>
      </c>
      <c r="H34" s="8" t="e">
        <f>ROUND((X34+Y34)/E34,2)</f>
        <v>#DIV/0!</v>
      </c>
      <c r="I34" s="8" t="e">
        <f t="shared" si="33"/>
        <v>#DIV/0!</v>
      </c>
      <c r="J34" s="8" t="e">
        <f>ROUND(AL34/E34,3)</f>
        <v>#DIV/0!</v>
      </c>
      <c r="K34" s="8" t="e">
        <f>ROUND((AM34+AN34+AO34+AP34+AQ34)/E34,2)</f>
        <v>#DIV/0!</v>
      </c>
      <c r="L34" s="8" t="e">
        <f>ROUND((AS34+AT34+AU34+AV34+AW34)/E34,2)</f>
        <v>#DIV/0!</v>
      </c>
      <c r="M34" s="8" t="e">
        <f>ROUND((AZ34+BA34)/E34,2)</f>
        <v>#DIV/0!</v>
      </c>
      <c r="N34" s="11" t="e">
        <f t="shared" si="2"/>
        <v>#DIV/0!</v>
      </c>
      <c r="O34" s="11" t="e">
        <f>ROUND(BF34/E34,2)</f>
        <v>#DIV/0!</v>
      </c>
      <c r="P34" s="11" t="e">
        <f>ROUND(BG34/E34,2)</f>
        <v>#DIV/0!</v>
      </c>
      <c r="Q34" s="8" t="e">
        <f t="shared" si="34"/>
        <v>#DIV/0!</v>
      </c>
      <c r="R34" s="8" t="e">
        <f t="shared" si="30"/>
        <v>#DIV/0!</v>
      </c>
      <c r="S34" s="8" t="e">
        <f t="shared" si="3"/>
        <v>#DIV/0!</v>
      </c>
      <c r="T34" s="39" t="e">
        <f t="shared" si="31"/>
        <v>#DIV/0!</v>
      </c>
      <c r="U34" s="660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899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>
        <f>V34+W34+X34+Y34+Z34+AA34+AC34+AL34+AM34+AN34+AO34+AP34+AS34+AT34+AU34+AV34+AW34+AX34+AY34+AZ34+BA34+BB34+BC34+BD34+BE34+BF34+BG34+AQ34</f>
        <v>0</v>
      </c>
      <c r="BI34" s="15"/>
      <c r="BJ34" s="15"/>
      <c r="BK34" s="24" t="e">
        <f t="shared" si="26"/>
        <v>#DIV/0!</v>
      </c>
      <c r="BL34" s="76">
        <f t="shared" si="38"/>
        <v>0</v>
      </c>
      <c r="BM34" s="76">
        <f t="shared" si="38"/>
        <v>0</v>
      </c>
      <c r="BN34" s="76">
        <f>Z34+AA34+AC34</f>
        <v>0</v>
      </c>
      <c r="BO34" s="76">
        <f>BF34</f>
        <v>0</v>
      </c>
      <c r="BP34" s="76">
        <f>BG34+AL34+AM34+AN34+AO34+AP34+AQ34+AS34+AT34+AU34+AV34+AW34+AX34+AY34+AZ34+BA34+BB34+BC34+BD34</f>
        <v>0</v>
      </c>
      <c r="BQ34" s="92">
        <f>BL34+BM34+BN34+BO34+BP34</f>
        <v>0</v>
      </c>
    </row>
    <row r="35" spans="1:81" ht="15" hidden="1" customHeight="1" outlineLevel="1">
      <c r="A35" s="789"/>
      <c r="B35" s="660"/>
      <c r="C35" s="660"/>
      <c r="D35" s="9" t="s">
        <v>192</v>
      </c>
      <c r="E35" s="10">
        <v>0</v>
      </c>
      <c r="F35" s="884"/>
      <c r="G35" s="8" t="e">
        <f t="shared" si="0"/>
        <v>#DIV/0!</v>
      </c>
      <c r="H35" s="8" t="e">
        <f>ROUND((X35+Y35)/E35,2)</f>
        <v>#DIV/0!</v>
      </c>
      <c r="I35" s="8" t="e">
        <f t="shared" si="33"/>
        <v>#DIV/0!</v>
      </c>
      <c r="J35" s="8" t="e">
        <f>ROUND(AL35/E35,3)</f>
        <v>#DIV/0!</v>
      </c>
      <c r="K35" s="8" t="e">
        <f>ROUND((AM35+AN35+AO35+AP35+AQ35)/E35,2)</f>
        <v>#DIV/0!</v>
      </c>
      <c r="L35" s="8" t="e">
        <f>ROUND((AS35+AT35+AU35+AV35+AW35)/E35,2)</f>
        <v>#DIV/0!</v>
      </c>
      <c r="M35" s="8" t="e">
        <f>ROUND((AZ35+BA35)/E35,2)</f>
        <v>#DIV/0!</v>
      </c>
      <c r="N35" s="11" t="e">
        <f t="shared" si="2"/>
        <v>#DIV/0!</v>
      </c>
      <c r="O35" s="11" t="e">
        <f>ROUND(BF35/E35,2)</f>
        <v>#DIV/0!</v>
      </c>
      <c r="P35" s="11" t="e">
        <f>ROUND(BG35/E35,2)</f>
        <v>#DIV/0!</v>
      </c>
      <c r="Q35" s="8" t="e">
        <f t="shared" si="34"/>
        <v>#DIV/0!</v>
      </c>
      <c r="R35" s="8" t="e">
        <f t="shared" si="30"/>
        <v>#DIV/0!</v>
      </c>
      <c r="S35" s="8" t="e">
        <f t="shared" si="3"/>
        <v>#DIV/0!</v>
      </c>
      <c r="T35" s="39" t="e">
        <f t="shared" si="31"/>
        <v>#DIV/0!</v>
      </c>
      <c r="U35" s="660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899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>
        <f>V35+W35+X35+Y35+Z35+AA35+AC35+AL35+AM35+AN35+AO35+AP35+AS35+AT35+AU35+AV35+AW35+AX35+AY35+AZ35+BA35+BB35+BC35+BD35+BE35+BF35+BG35+AQ35</f>
        <v>0</v>
      </c>
      <c r="BI35" s="15"/>
      <c r="BJ35" s="15"/>
      <c r="BK35" s="24" t="e">
        <f t="shared" si="26"/>
        <v>#DIV/0!</v>
      </c>
      <c r="BL35" s="76">
        <f t="shared" si="38"/>
        <v>0</v>
      </c>
      <c r="BM35" s="76">
        <f t="shared" si="38"/>
        <v>0</v>
      </c>
      <c r="BN35" s="76">
        <f>Z35+AA35+AC35</f>
        <v>0</v>
      </c>
      <c r="BO35" s="76">
        <f>BF35</f>
        <v>0</v>
      </c>
      <c r="BP35" s="76">
        <f>BG35+AL35+AM35+AN35+AO35+AP35+AQ35+AS35+AT35+AU35+AV35+AW35+AX35+AY35+AZ35+BA35+BB35+BC35+BD35</f>
        <v>0</v>
      </c>
      <c r="BQ35" s="92">
        <f>BL35+BM35+BN35+BO35+BP35</f>
        <v>0</v>
      </c>
    </row>
    <row r="36" spans="1:81" ht="15" hidden="1" customHeight="1" outlineLevel="1">
      <c r="A36" s="789"/>
      <c r="B36" s="649"/>
      <c r="C36" s="649"/>
      <c r="D36" s="9" t="s">
        <v>193</v>
      </c>
      <c r="E36" s="10">
        <v>0</v>
      </c>
      <c r="F36" s="884"/>
      <c r="G36" s="8" t="e">
        <f t="shared" si="0"/>
        <v>#DIV/0!</v>
      </c>
      <c r="H36" s="8" t="e">
        <f>ROUND((X36+Y36)/E36,2)</f>
        <v>#DIV/0!</v>
      </c>
      <c r="I36" s="8" t="e">
        <f t="shared" si="33"/>
        <v>#DIV/0!</v>
      </c>
      <c r="J36" s="8" t="e">
        <f>ROUND(AL36/E36,3)</f>
        <v>#DIV/0!</v>
      </c>
      <c r="K36" s="8" t="e">
        <f>ROUND((AM36+AN36+AO36+AP36+AQ36)/E36,2)</f>
        <v>#DIV/0!</v>
      </c>
      <c r="L36" s="8" t="e">
        <f>ROUND((AS36+AT36+AU36+AV36+AW36)/E36,2)</f>
        <v>#DIV/0!</v>
      </c>
      <c r="M36" s="8" t="e">
        <f>ROUND((AZ36+BA36)/E36,2)</f>
        <v>#DIV/0!</v>
      </c>
      <c r="N36" s="11" t="e">
        <f t="shared" si="2"/>
        <v>#DIV/0!</v>
      </c>
      <c r="O36" s="11" t="e">
        <f>ROUND(BF36/E36,2)</f>
        <v>#DIV/0!</v>
      </c>
      <c r="P36" s="11" t="e">
        <f>ROUND(BG36/E36,2)</f>
        <v>#DIV/0!</v>
      </c>
      <c r="Q36" s="8" t="e">
        <f t="shared" si="34"/>
        <v>#DIV/0!</v>
      </c>
      <c r="R36" s="8" t="e">
        <f t="shared" si="30"/>
        <v>#DIV/0!</v>
      </c>
      <c r="S36" s="8" t="e">
        <f t="shared" si="3"/>
        <v>#DIV/0!</v>
      </c>
      <c r="T36" s="39" t="e">
        <f t="shared" si="31"/>
        <v>#DIV/0!</v>
      </c>
      <c r="U36" s="660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899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>
        <f>V36+W36+X36+Y36+Z36+AA36+AC36+AL36+AM36+AN36+AO36+AP36+AS36+AT36+AU36+AV36+AW36+AX36+AY36+AZ36+BA36+BB36+BC36+BD36+BE36+BF36+BG36+AQ36</f>
        <v>0</v>
      </c>
      <c r="BI36" s="15"/>
      <c r="BJ36" s="15"/>
      <c r="BK36" s="24" t="e">
        <f t="shared" si="26"/>
        <v>#DIV/0!</v>
      </c>
      <c r="BL36" s="76">
        <f t="shared" si="38"/>
        <v>0</v>
      </c>
      <c r="BM36" s="76">
        <f t="shared" si="38"/>
        <v>0</v>
      </c>
      <c r="BN36" s="76">
        <f>Z36+AA36+AC36</f>
        <v>0</v>
      </c>
      <c r="BO36" s="76">
        <f>BF36</f>
        <v>0</v>
      </c>
      <c r="BP36" s="76">
        <f>BG36+AL36+AM36+AN36+AO36+AP36+AQ36+AS36+AT36+AU36+AV36+AW36+AX36+AY36+AZ36+BA36+BB36+BC36+BD36</f>
        <v>0</v>
      </c>
      <c r="BQ36" s="92">
        <f>BL36+BM36+BN36+BO36+BP36</f>
        <v>0</v>
      </c>
    </row>
    <row r="37" spans="1:81" ht="65.25" customHeight="1" collapsed="1">
      <c r="A37" s="649"/>
      <c r="B37" s="9" t="s">
        <v>198</v>
      </c>
      <c r="C37" s="9" t="s">
        <v>196</v>
      </c>
      <c r="D37" s="9"/>
      <c r="E37" s="313">
        <v>43889</v>
      </c>
      <c r="F37" s="885"/>
      <c r="G37" s="8">
        <f t="shared" si="0"/>
        <v>297.16000000000003</v>
      </c>
      <c r="H37" s="8">
        <f>ROUND((X37+Y37)/E37,3)</f>
        <v>72.072000000000003</v>
      </c>
      <c r="I37" s="8">
        <f t="shared" si="33"/>
        <v>369.23200000000003</v>
      </c>
      <c r="J37" s="202">
        <f>ROUND((AL37-AK37)/E37,3)</f>
        <v>6.8000000000000005E-2</v>
      </c>
      <c r="K37" s="8">
        <f>ROUND((AM37+AN37+AO37+AP37+AQ37)/E37,3)</f>
        <v>2.0680000000000001</v>
      </c>
      <c r="L37" s="8">
        <f>ROUND((AS37+AT37+AU37+AV37+AW37)/E37,3)</f>
        <v>0.86599999999999999</v>
      </c>
      <c r="M37" s="8">
        <f>ROUND((AZ37+BA37)/E37,3)</f>
        <v>5.4870000000000001</v>
      </c>
      <c r="N37" s="11">
        <f t="shared" si="2"/>
        <v>0</v>
      </c>
      <c r="O37" s="11">
        <f>ROUND(BF37/E37,3)</f>
        <v>4.218</v>
      </c>
      <c r="P37" s="203">
        <f>ROUND(AK37/E37,3)</f>
        <v>4.5999999999999999E-2</v>
      </c>
      <c r="Q37" s="8">
        <f t="shared" si="34"/>
        <v>381.98500000000001</v>
      </c>
      <c r="R37" s="8">
        <f>ROUND((Z37+AA37+AC37)/E37,3)</f>
        <v>13.786</v>
      </c>
      <c r="S37" s="8">
        <f>ROUND(AX37/E37,2)</f>
        <v>0.08</v>
      </c>
      <c r="T37" s="22">
        <f t="shared" si="31"/>
        <v>395.851</v>
      </c>
      <c r="U37" s="649"/>
      <c r="V37" s="15">
        <f>8721551.9+1295350.4</f>
        <v>10016902.300000001</v>
      </c>
      <c r="W37" s="15">
        <v>3025146.73</v>
      </c>
      <c r="X37" s="15">
        <v>2429469</v>
      </c>
      <c r="Y37" s="15">
        <f>ROUND(X37*0.302,0)</f>
        <v>733700</v>
      </c>
      <c r="Z37" s="15">
        <v>430630</v>
      </c>
      <c r="AA37" s="15">
        <v>162146</v>
      </c>
      <c r="AB37" s="15"/>
      <c r="AC37" s="15">
        <v>12294</v>
      </c>
      <c r="AD37" s="15">
        <v>3000</v>
      </c>
      <c r="AE37" s="15"/>
      <c r="AF37" s="15"/>
      <c r="AG37" s="15"/>
      <c r="AH37" s="15"/>
      <c r="AI37" s="15"/>
      <c r="AJ37" s="15"/>
      <c r="AK37" s="15">
        <v>2000</v>
      </c>
      <c r="AL37" s="15">
        <f>SUM(AD37:AK37)</f>
        <v>5000</v>
      </c>
      <c r="AM37" s="15">
        <v>82800</v>
      </c>
      <c r="AN37" s="15"/>
      <c r="AO37" s="15"/>
      <c r="AP37" s="15">
        <v>7965</v>
      </c>
      <c r="AQ37" s="15"/>
      <c r="AR37" s="905"/>
      <c r="AS37" s="15"/>
      <c r="AT37" s="15">
        <v>21445</v>
      </c>
      <c r="AU37" s="15">
        <v>16554</v>
      </c>
      <c r="AV37" s="15"/>
      <c r="AW37" s="15"/>
      <c r="AX37" s="15">
        <v>3526.36</v>
      </c>
      <c r="AY37" s="15"/>
      <c r="AZ37" s="15">
        <v>232514</v>
      </c>
      <c r="BA37" s="15">
        <v>8298</v>
      </c>
      <c r="BB37" s="15"/>
      <c r="BC37" s="15"/>
      <c r="BD37" s="15"/>
      <c r="BE37" s="15"/>
      <c r="BF37" s="15">
        <v>185115</v>
      </c>
      <c r="BG37" s="15"/>
      <c r="BH37" s="15">
        <f>V37+W37+X37+Y37+Z37+AA37+AC37+AL37+AM37+AN37+AO37+AP37+AS37+AT37+AU37+AV37+AW37+AX37+AY37+AZ37+BA37+BB37+BC37+BD37+BE37+BF37+BG37+AQ37</f>
        <v>17373505.390000001</v>
      </c>
      <c r="BI37" s="15"/>
      <c r="BJ37" s="15"/>
      <c r="BK37" s="224">
        <f>ROUND(BH37/E37,3)</f>
        <v>395.851</v>
      </c>
      <c r="BL37" s="92">
        <f t="shared" si="38"/>
        <v>12446371.300000001</v>
      </c>
      <c r="BM37" s="92">
        <f t="shared" si="38"/>
        <v>3758846.73</v>
      </c>
      <c r="BN37" s="92">
        <f>Z37+AA37+AC37</f>
        <v>605070</v>
      </c>
      <c r="BO37" s="92">
        <f>BF37</f>
        <v>185115</v>
      </c>
      <c r="BP37" s="212">
        <f>BG37+AL37+AM37+AN37+AO37+AP37+AQ37+AS37+AT37+AU37+AV37+AW37+AX37+AY37+AZ37+BA37+BB37+BC37+BD37</f>
        <v>378102.36</v>
      </c>
      <c r="BQ37" s="92">
        <f>BL37+BM37+BN37+BO37+BP37</f>
        <v>17373505.390000001</v>
      </c>
      <c r="BR37" s="16">
        <f>BL37+'0902 Пр.2(7)мед освид'!BK23</f>
        <v>13458345.300000001</v>
      </c>
      <c r="BS37" s="16">
        <f>BM37+'0902 Пр.2(7)мед освид'!BL23</f>
        <v>4064463.73</v>
      </c>
      <c r="BT37" s="16">
        <f>BN37+'0902 Пр.2(7)мед освид'!BM23</f>
        <v>659253</v>
      </c>
      <c r="BU37" s="16">
        <f>BO37+'0902 Пр.2(7)мед освид'!BN23</f>
        <v>185115</v>
      </c>
      <c r="BV37" s="16">
        <f>BP37+'0902 Пр.2(7)мед освид'!BO23</f>
        <v>424956.52999999997</v>
      </c>
      <c r="BW37" s="16">
        <f>BQ37+'0902 Пр.2(7)мед освид'!BP23</f>
        <v>18792133.560000002</v>
      </c>
    </row>
    <row r="38" spans="1:81" ht="28.5" customHeight="1">
      <c r="A38" s="493" t="s">
        <v>255</v>
      </c>
      <c r="B38" s="493"/>
      <c r="C38" s="493" t="s">
        <v>252</v>
      </c>
      <c r="D38" s="494"/>
      <c r="E38" s="495">
        <v>43889</v>
      </c>
      <c r="F38" s="496"/>
      <c r="G38" s="489">
        <f t="shared" si="0"/>
        <v>297.16000000000003</v>
      </c>
      <c r="H38" s="489">
        <f>ROUND((X38+Y38)/E38,3)</f>
        <v>72.072000000000003</v>
      </c>
      <c r="I38" s="489">
        <f t="shared" ref="I38:I52" si="39">G38+H38</f>
        <v>369.23200000000003</v>
      </c>
      <c r="J38" s="490">
        <f>ROUND((AL38-AK38)/E38,3)</f>
        <v>6.8000000000000005E-2</v>
      </c>
      <c r="K38" s="489">
        <f>ROUND((AM38+AN38+AO38+AP38+AQ38)/E38,3)</f>
        <v>2.0680000000000001</v>
      </c>
      <c r="L38" s="489">
        <f>ROUND((AS38+AT38+AU38+AV38+AW38)/E38,3)</f>
        <v>0.86599999999999999</v>
      </c>
      <c r="M38" s="489">
        <f>ROUND((AZ38+BA38)/E38,3)</f>
        <v>5.4870000000000001</v>
      </c>
      <c r="N38" s="491">
        <f t="shared" si="2"/>
        <v>0</v>
      </c>
      <c r="O38" s="491">
        <f>ROUND(BF38/E38,3)</f>
        <v>4.218</v>
      </c>
      <c r="P38" s="492">
        <f>ROUND(AK38/E38,3)</f>
        <v>4.5999999999999999E-2</v>
      </c>
      <c r="Q38" s="489">
        <f t="shared" ref="Q38:Q52" si="40">P38+O38+N38+M38+L38+K38+J38+I38</f>
        <v>381.98500000000001</v>
      </c>
      <c r="R38" s="489">
        <f>ROUND((Z38+AA38+AC38)/E38,3)</f>
        <v>13.786</v>
      </c>
      <c r="S38" s="489">
        <f t="shared" si="3"/>
        <v>0.08</v>
      </c>
      <c r="T38" s="489">
        <f t="shared" si="23"/>
        <v>395.851</v>
      </c>
      <c r="U38" s="497"/>
      <c r="V38" s="498">
        <f>V33+V34+V35+V36+V37</f>
        <v>10016902.300000001</v>
      </c>
      <c r="W38" s="498">
        <f t="shared" ref="W38:AQ38" si="41">W33+W34+W35+W36+W37</f>
        <v>3025146.73</v>
      </c>
      <c r="X38" s="498">
        <f t="shared" si="41"/>
        <v>2429469</v>
      </c>
      <c r="Y38" s="498">
        <f t="shared" si="41"/>
        <v>733700</v>
      </c>
      <c r="Z38" s="498">
        <f t="shared" si="41"/>
        <v>430630</v>
      </c>
      <c r="AA38" s="498">
        <f t="shared" si="41"/>
        <v>162146</v>
      </c>
      <c r="AB38" s="498">
        <f t="shared" si="41"/>
        <v>0</v>
      </c>
      <c r="AC38" s="498">
        <f t="shared" si="41"/>
        <v>12294</v>
      </c>
      <c r="AD38" s="498">
        <f t="shared" si="41"/>
        <v>3000</v>
      </c>
      <c r="AE38" s="498">
        <f t="shared" si="41"/>
        <v>0</v>
      </c>
      <c r="AF38" s="498">
        <f t="shared" si="41"/>
        <v>0</v>
      </c>
      <c r="AG38" s="498">
        <f t="shared" si="41"/>
        <v>0</v>
      </c>
      <c r="AH38" s="498">
        <f t="shared" si="41"/>
        <v>0</v>
      </c>
      <c r="AI38" s="498">
        <f t="shared" si="41"/>
        <v>0</v>
      </c>
      <c r="AJ38" s="498">
        <f t="shared" si="41"/>
        <v>0</v>
      </c>
      <c r="AK38" s="498">
        <f t="shared" si="41"/>
        <v>2000</v>
      </c>
      <c r="AL38" s="498">
        <f t="shared" si="41"/>
        <v>5000</v>
      </c>
      <c r="AM38" s="498">
        <f t="shared" si="41"/>
        <v>82800</v>
      </c>
      <c r="AN38" s="498">
        <f t="shared" si="41"/>
        <v>0</v>
      </c>
      <c r="AO38" s="498">
        <f t="shared" si="41"/>
        <v>0</v>
      </c>
      <c r="AP38" s="498">
        <f t="shared" si="41"/>
        <v>7965</v>
      </c>
      <c r="AQ38" s="498">
        <f t="shared" si="41"/>
        <v>0</v>
      </c>
      <c r="AR38" s="499"/>
      <c r="AS38" s="498">
        <f t="shared" ref="AS38:BG38" si="42">AS33+AS34+AS35+AS36+AS37</f>
        <v>0</v>
      </c>
      <c r="AT38" s="498">
        <f t="shared" si="42"/>
        <v>21445</v>
      </c>
      <c r="AU38" s="498">
        <f t="shared" si="42"/>
        <v>16554</v>
      </c>
      <c r="AV38" s="498">
        <f t="shared" si="42"/>
        <v>0</v>
      </c>
      <c r="AW38" s="498">
        <f t="shared" si="42"/>
        <v>0</v>
      </c>
      <c r="AX38" s="498">
        <f t="shared" si="42"/>
        <v>3526.36</v>
      </c>
      <c r="AY38" s="498">
        <f t="shared" si="42"/>
        <v>0</v>
      </c>
      <c r="AZ38" s="498">
        <f t="shared" si="42"/>
        <v>232514</v>
      </c>
      <c r="BA38" s="498">
        <f t="shared" si="42"/>
        <v>8298</v>
      </c>
      <c r="BB38" s="498">
        <f t="shared" si="42"/>
        <v>0</v>
      </c>
      <c r="BC38" s="498">
        <f t="shared" si="42"/>
        <v>0</v>
      </c>
      <c r="BD38" s="498">
        <f t="shared" si="42"/>
        <v>0</v>
      </c>
      <c r="BE38" s="498">
        <f t="shared" si="42"/>
        <v>0</v>
      </c>
      <c r="BF38" s="498">
        <f t="shared" si="42"/>
        <v>185115</v>
      </c>
      <c r="BG38" s="498">
        <f t="shared" si="42"/>
        <v>0</v>
      </c>
      <c r="BH38" s="498">
        <f>BH33+BH34+BH35+BH36+BH37</f>
        <v>17373505.390000001</v>
      </c>
      <c r="BI38" s="500"/>
      <c r="BJ38" s="501"/>
      <c r="BK38" s="498">
        <f t="shared" si="26"/>
        <v>395.85</v>
      </c>
      <c r="BL38" s="633">
        <f t="shared" ref="BL38:BQ38" si="43">BL37</f>
        <v>12446371.300000001</v>
      </c>
      <c r="BM38" s="633">
        <f t="shared" si="43"/>
        <v>3758846.73</v>
      </c>
      <c r="BN38" s="633">
        <f t="shared" si="43"/>
        <v>605070</v>
      </c>
      <c r="BO38" s="633">
        <f t="shared" si="43"/>
        <v>185115</v>
      </c>
      <c r="BP38" s="633">
        <f t="shared" si="43"/>
        <v>378102.36</v>
      </c>
      <c r="BQ38" s="633">
        <f t="shared" si="43"/>
        <v>17373505.390000001</v>
      </c>
      <c r="BR38" s="16"/>
      <c r="BS38" s="16"/>
      <c r="BT38" s="16"/>
      <c r="BU38" s="16"/>
      <c r="BV38" s="16"/>
      <c r="BY38" s="16"/>
      <c r="BZ38" s="16"/>
      <c r="CA38" s="16"/>
      <c r="CB38" s="16"/>
      <c r="CC38" s="16"/>
    </row>
    <row r="39" spans="1:81" ht="15.75" hidden="1" customHeight="1" outlineLevel="1">
      <c r="A39" s="648" t="s">
        <v>194</v>
      </c>
      <c r="B39" s="648" t="s">
        <v>197</v>
      </c>
      <c r="C39" s="648" t="s">
        <v>189</v>
      </c>
      <c r="D39" s="9" t="s">
        <v>190</v>
      </c>
      <c r="E39" s="10">
        <v>0</v>
      </c>
      <c r="F39" s="671" t="s">
        <v>93</v>
      </c>
      <c r="G39" s="8" t="e">
        <f t="shared" si="0"/>
        <v>#DIV/0!</v>
      </c>
      <c r="H39" s="8" t="e">
        <f t="shared" ref="H39:H44" si="44">ROUND((X39+Y39)/E39,2)</f>
        <v>#DIV/0!</v>
      </c>
      <c r="I39" s="8" t="e">
        <f t="shared" si="39"/>
        <v>#DIV/0!</v>
      </c>
      <c r="J39" s="8" t="e">
        <f>ROUND(AL39/E39,3)</f>
        <v>#DIV/0!</v>
      </c>
      <c r="K39" s="8" t="e">
        <f>ROUND((AM39+AN39+AO39+AP39+AQ39)/E39,2)</f>
        <v>#DIV/0!</v>
      </c>
      <c r="L39" s="8" t="e">
        <f>ROUND((AS39+AT39+AU39+AV39+AW39)/E39,2)</f>
        <v>#DIV/0!</v>
      </c>
      <c r="M39" s="8" t="e">
        <f>ROUND((AZ39+BA39)/E39,2)</f>
        <v>#DIV/0!</v>
      </c>
      <c r="N39" s="11" t="e">
        <f t="shared" si="2"/>
        <v>#DIV/0!</v>
      </c>
      <c r="O39" s="11" t="e">
        <f t="shared" ref="O39:O69" si="45">ROUND(BF39/E39,2)</f>
        <v>#DIV/0!</v>
      </c>
      <c r="P39" s="11" t="e">
        <f>ROUND(BG39/E39,2)</f>
        <v>#DIV/0!</v>
      </c>
      <c r="Q39" s="8" t="e">
        <f t="shared" si="40"/>
        <v>#DIV/0!</v>
      </c>
      <c r="R39" s="8" t="e">
        <f t="shared" si="30"/>
        <v>#DIV/0!</v>
      </c>
      <c r="S39" s="8" t="e">
        <f t="shared" si="3"/>
        <v>#DIV/0!</v>
      </c>
      <c r="T39" s="39" t="e">
        <f t="shared" si="23"/>
        <v>#DIV/0!</v>
      </c>
      <c r="U39" s="671" t="s">
        <v>93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705" t="s">
        <v>93</v>
      </c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>
        <f t="shared" ref="BH39:BH44" si="46">V39+W39+X39+Y39+Z39+AA39+AC39+AL39+AM39+AN39+AO39+AP39+AS39+AT39+AU39+AV39+AW39+AX39+AY39+AZ39+BA39+BB39+BC39+BD39+BE39+BF39+BG39+AQ39</f>
        <v>0</v>
      </c>
      <c r="BI39" s="15"/>
      <c r="BJ39" s="15"/>
      <c r="BK39" s="24" t="e">
        <f t="shared" si="26"/>
        <v>#DIV/0!</v>
      </c>
      <c r="BL39" s="92">
        <f t="shared" ref="BL39:BM44" si="47">V39+X39</f>
        <v>0</v>
      </c>
      <c r="BM39" s="92">
        <f t="shared" si="47"/>
        <v>0</v>
      </c>
      <c r="BN39" s="92">
        <f t="shared" ref="BN39:BN44" si="48">Z39+AA39+AC39</f>
        <v>0</v>
      </c>
      <c r="BO39" s="92">
        <f t="shared" ref="BO39:BO44" si="49">BF39</f>
        <v>0</v>
      </c>
      <c r="BP39" s="92">
        <f t="shared" ref="BP39:BP44" si="50">BG39+AL39+AM39+AN39+AO39+AP39+AQ39+AS39+AT39+AU39+AV39+AW39+AX39+AY39+AZ39+BA39+BB39+BC39+BD39</f>
        <v>0</v>
      </c>
      <c r="BQ39" s="92">
        <f t="shared" ref="BQ39:BQ44" si="51">BL39+BM39+BN39+BO39+BP39</f>
        <v>0</v>
      </c>
    </row>
    <row r="40" spans="1:81" ht="15" hidden="1" customHeight="1" outlineLevel="1">
      <c r="A40" s="789"/>
      <c r="B40" s="660"/>
      <c r="C40" s="660"/>
      <c r="D40" s="9" t="s">
        <v>191</v>
      </c>
      <c r="E40" s="10">
        <v>0</v>
      </c>
      <c r="F40" s="889"/>
      <c r="G40" s="8" t="e">
        <f t="shared" si="0"/>
        <v>#DIV/0!</v>
      </c>
      <c r="H40" s="8" t="e">
        <f t="shared" si="44"/>
        <v>#DIV/0!</v>
      </c>
      <c r="I40" s="8" t="e">
        <f t="shared" si="39"/>
        <v>#DIV/0!</v>
      </c>
      <c r="J40" s="8" t="e">
        <f>ROUND(AL40/E40,3)</f>
        <v>#DIV/0!</v>
      </c>
      <c r="K40" s="8" t="e">
        <f>ROUND((AM40+AN40+AO40+AP40+AQ40)/E40,2)</f>
        <v>#DIV/0!</v>
      </c>
      <c r="L40" s="8" t="e">
        <f>ROUND((AS40+AT40+AU40+AV40+AW40)/E40,2)</f>
        <v>#DIV/0!</v>
      </c>
      <c r="M40" s="8" t="e">
        <f>ROUND((AZ40+BA40)/E40,2)</f>
        <v>#DIV/0!</v>
      </c>
      <c r="N40" s="11" t="e">
        <f t="shared" si="2"/>
        <v>#DIV/0!</v>
      </c>
      <c r="O40" s="11" t="e">
        <f t="shared" si="45"/>
        <v>#DIV/0!</v>
      </c>
      <c r="P40" s="11" t="e">
        <f>ROUND(BG40/E40,2)</f>
        <v>#DIV/0!</v>
      </c>
      <c r="Q40" s="8" t="e">
        <f t="shared" si="40"/>
        <v>#DIV/0!</v>
      </c>
      <c r="R40" s="8" t="e">
        <f t="shared" si="30"/>
        <v>#DIV/0!</v>
      </c>
      <c r="S40" s="8" t="e">
        <f t="shared" si="3"/>
        <v>#DIV/0!</v>
      </c>
      <c r="T40" s="39" t="e">
        <f t="shared" si="23"/>
        <v>#DIV/0!</v>
      </c>
      <c r="U40" s="883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901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>
        <f t="shared" si="46"/>
        <v>0</v>
      </c>
      <c r="BI40" s="15"/>
      <c r="BJ40" s="15"/>
      <c r="BK40" s="24" t="e">
        <f t="shared" si="26"/>
        <v>#DIV/0!</v>
      </c>
      <c r="BL40" s="92">
        <f t="shared" si="47"/>
        <v>0</v>
      </c>
      <c r="BM40" s="92">
        <f t="shared" si="47"/>
        <v>0</v>
      </c>
      <c r="BN40" s="92">
        <f t="shared" si="48"/>
        <v>0</v>
      </c>
      <c r="BO40" s="92">
        <f t="shared" si="49"/>
        <v>0</v>
      </c>
      <c r="BP40" s="92">
        <f t="shared" si="50"/>
        <v>0</v>
      </c>
      <c r="BQ40" s="92">
        <f t="shared" si="51"/>
        <v>0</v>
      </c>
    </row>
    <row r="41" spans="1:81" ht="15" hidden="1" customHeight="1" outlineLevel="1">
      <c r="A41" s="789"/>
      <c r="B41" s="660"/>
      <c r="C41" s="660"/>
      <c r="D41" s="9" t="s">
        <v>192</v>
      </c>
      <c r="E41" s="10">
        <v>0</v>
      </c>
      <c r="F41" s="889"/>
      <c r="G41" s="8" t="e">
        <f t="shared" si="0"/>
        <v>#DIV/0!</v>
      </c>
      <c r="H41" s="8" t="e">
        <f t="shared" si="44"/>
        <v>#DIV/0!</v>
      </c>
      <c r="I41" s="8" t="e">
        <f t="shared" si="39"/>
        <v>#DIV/0!</v>
      </c>
      <c r="J41" s="8" t="e">
        <f>ROUND(AL41/E41,3)</f>
        <v>#DIV/0!</v>
      </c>
      <c r="K41" s="8" t="e">
        <f>ROUND((AM41+AN41+AO41+AP41+AQ41)/E41,2)</f>
        <v>#DIV/0!</v>
      </c>
      <c r="L41" s="8" t="e">
        <f>ROUND((AS41+AT41+AU41+AV41+AW41)/E41,2)</f>
        <v>#DIV/0!</v>
      </c>
      <c r="M41" s="8" t="e">
        <f>ROUND((AZ41+BA41)/E41,2)</f>
        <v>#DIV/0!</v>
      </c>
      <c r="N41" s="11" t="e">
        <f t="shared" ref="N41:N69" si="52">ROUND(BE41/E41,2)</f>
        <v>#DIV/0!</v>
      </c>
      <c r="O41" s="11" t="e">
        <f t="shared" si="45"/>
        <v>#DIV/0!</v>
      </c>
      <c r="P41" s="11" t="e">
        <f>ROUND(BG41/E41,2)</f>
        <v>#DIV/0!</v>
      </c>
      <c r="Q41" s="8" t="e">
        <f t="shared" si="40"/>
        <v>#DIV/0!</v>
      </c>
      <c r="R41" s="8" t="e">
        <f t="shared" si="30"/>
        <v>#DIV/0!</v>
      </c>
      <c r="S41" s="8" t="e">
        <f t="shared" ref="S41:S69" si="53">ROUND(AX41/E41,2)</f>
        <v>#DIV/0!</v>
      </c>
      <c r="T41" s="39" t="e">
        <f t="shared" si="23"/>
        <v>#DIV/0!</v>
      </c>
      <c r="U41" s="883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901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>
        <f t="shared" si="46"/>
        <v>0</v>
      </c>
      <c r="BI41" s="15"/>
      <c r="BJ41" s="15"/>
      <c r="BK41" s="24" t="e">
        <f t="shared" si="26"/>
        <v>#DIV/0!</v>
      </c>
      <c r="BL41" s="92">
        <f t="shared" si="47"/>
        <v>0</v>
      </c>
      <c r="BM41" s="92">
        <f t="shared" si="47"/>
        <v>0</v>
      </c>
      <c r="BN41" s="92">
        <f t="shared" si="48"/>
        <v>0</v>
      </c>
      <c r="BO41" s="92">
        <f t="shared" si="49"/>
        <v>0</v>
      </c>
      <c r="BP41" s="92">
        <f t="shared" si="50"/>
        <v>0</v>
      </c>
      <c r="BQ41" s="92">
        <f t="shared" si="51"/>
        <v>0</v>
      </c>
    </row>
    <row r="42" spans="1:81" ht="15" hidden="1" customHeight="1" outlineLevel="1">
      <c r="A42" s="789"/>
      <c r="B42" s="660"/>
      <c r="C42" s="660"/>
      <c r="D42" s="9" t="s">
        <v>193</v>
      </c>
      <c r="E42" s="10">
        <v>0</v>
      </c>
      <c r="F42" s="889"/>
      <c r="G42" s="8" t="e">
        <f t="shared" si="0"/>
        <v>#DIV/0!</v>
      </c>
      <c r="H42" s="8" t="e">
        <f t="shared" si="44"/>
        <v>#DIV/0!</v>
      </c>
      <c r="I42" s="8" t="e">
        <f t="shared" si="39"/>
        <v>#DIV/0!</v>
      </c>
      <c r="J42" s="8" t="e">
        <f>ROUND(AL42/E42,3)</f>
        <v>#DIV/0!</v>
      </c>
      <c r="K42" s="8" t="e">
        <f>ROUND((AM42+AN42+AO42+AP42+AQ42)/E42,2)</f>
        <v>#DIV/0!</v>
      </c>
      <c r="L42" s="8" t="e">
        <f>ROUND((AS42+AT42+AU42+AV42+AW42)/E42,2)</f>
        <v>#DIV/0!</v>
      </c>
      <c r="M42" s="8" t="e">
        <f>ROUND((AZ42+BA42)/E42,2)</f>
        <v>#DIV/0!</v>
      </c>
      <c r="N42" s="11" t="e">
        <f t="shared" si="52"/>
        <v>#DIV/0!</v>
      </c>
      <c r="O42" s="11" t="e">
        <f t="shared" si="45"/>
        <v>#DIV/0!</v>
      </c>
      <c r="P42" s="11" t="e">
        <f>ROUND(BG42/E42,2)</f>
        <v>#DIV/0!</v>
      </c>
      <c r="Q42" s="8" t="e">
        <f t="shared" si="40"/>
        <v>#DIV/0!</v>
      </c>
      <c r="R42" s="8" t="e">
        <f t="shared" si="30"/>
        <v>#DIV/0!</v>
      </c>
      <c r="S42" s="8" t="e">
        <f t="shared" si="53"/>
        <v>#DIV/0!</v>
      </c>
      <c r="T42" s="39" t="e">
        <f t="shared" si="23"/>
        <v>#DIV/0!</v>
      </c>
      <c r="U42" s="883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901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>
        <f t="shared" si="46"/>
        <v>0</v>
      </c>
      <c r="BI42" s="15"/>
      <c r="BJ42" s="15"/>
      <c r="BK42" s="24" t="e">
        <f t="shared" si="26"/>
        <v>#DIV/0!</v>
      </c>
      <c r="BL42" s="92">
        <f t="shared" si="47"/>
        <v>0</v>
      </c>
      <c r="BM42" s="92">
        <f t="shared" si="47"/>
        <v>0</v>
      </c>
      <c r="BN42" s="92">
        <f t="shared" si="48"/>
        <v>0</v>
      </c>
      <c r="BO42" s="92">
        <f t="shared" si="49"/>
        <v>0</v>
      </c>
      <c r="BP42" s="92">
        <f t="shared" si="50"/>
        <v>0</v>
      </c>
      <c r="BQ42" s="92">
        <f t="shared" si="51"/>
        <v>0</v>
      </c>
    </row>
    <row r="43" spans="1:81" ht="57" customHeight="1" collapsed="1">
      <c r="A43" s="649"/>
      <c r="B43" s="9" t="s">
        <v>198</v>
      </c>
      <c r="C43" s="9" t="s">
        <v>196</v>
      </c>
      <c r="D43" s="9"/>
      <c r="E43" s="313">
        <v>2310</v>
      </c>
      <c r="F43" s="889"/>
      <c r="G43" s="8">
        <f t="shared" si="0"/>
        <v>716.096</v>
      </c>
      <c r="H43" s="8">
        <f t="shared" si="44"/>
        <v>0</v>
      </c>
      <c r="I43" s="8">
        <f t="shared" si="39"/>
        <v>716.096</v>
      </c>
      <c r="J43" s="486">
        <f>ROUND((AL43-AK43)/E43,3)</f>
        <v>1.1439999999999999</v>
      </c>
      <c r="K43" s="450">
        <f>ROUND((AM43+AN43+AO43+AP43+AQ43)/E43,3)</f>
        <v>0</v>
      </c>
      <c r="L43" s="450">
        <f>ROUND((AS43+AT43+AU43+AV43+AW43)/E43,3)</f>
        <v>0</v>
      </c>
      <c r="M43" s="450">
        <f>ROUND((AZ43+BA43)/E43,3)</f>
        <v>0</v>
      </c>
      <c r="N43" s="452">
        <f t="shared" si="52"/>
        <v>0</v>
      </c>
      <c r="O43" s="452">
        <f>ROUND(BF43/E43,3)</f>
        <v>1.4370000000000001</v>
      </c>
      <c r="P43" s="488">
        <f>ROUND(AK43/E43,3)</f>
        <v>0.86599999999999999</v>
      </c>
      <c r="Q43" s="8">
        <f t="shared" si="40"/>
        <v>719.54300000000001</v>
      </c>
      <c r="R43" s="8">
        <f t="shared" si="30"/>
        <v>0</v>
      </c>
      <c r="S43" s="8">
        <f t="shared" si="53"/>
        <v>0</v>
      </c>
      <c r="T43" s="39">
        <f t="shared" si="23"/>
        <v>719.54300000000001</v>
      </c>
      <c r="U43" s="883"/>
      <c r="V43" s="15">
        <v>1258410.67</v>
      </c>
      <c r="W43" s="15">
        <f>ROUND(V43*0.3145,0)</f>
        <v>395770</v>
      </c>
      <c r="X43" s="15"/>
      <c r="Y43" s="15"/>
      <c r="Z43" s="582"/>
      <c r="AA43" s="582"/>
      <c r="AB43" s="582"/>
      <c r="AC43" s="582"/>
      <c r="AD43" s="15">
        <v>2142</v>
      </c>
      <c r="AE43" s="15"/>
      <c r="AF43" s="15">
        <v>500</v>
      </c>
      <c r="AG43" s="15"/>
      <c r="AH43" s="15"/>
      <c r="AI43" s="15"/>
      <c r="AJ43" s="15"/>
      <c r="AK43" s="15">
        <v>2000</v>
      </c>
      <c r="AL43" s="15">
        <f>SUM(AD43:AK43)</f>
        <v>4642</v>
      </c>
      <c r="AM43" s="15"/>
      <c r="AN43" s="15"/>
      <c r="AO43" s="15"/>
      <c r="AP43" s="15"/>
      <c r="AQ43" s="15"/>
      <c r="AR43" s="901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>
        <v>3320</v>
      </c>
      <c r="BG43" s="15"/>
      <c r="BH43" s="15">
        <f t="shared" si="46"/>
        <v>1662142.67</v>
      </c>
      <c r="BI43" s="15"/>
      <c r="BJ43" s="15"/>
      <c r="BK43" s="24">
        <f t="shared" si="26"/>
        <v>719.54</v>
      </c>
      <c r="BL43" s="92">
        <f t="shared" si="47"/>
        <v>1258410.67</v>
      </c>
      <c r="BM43" s="92">
        <f t="shared" si="47"/>
        <v>395770</v>
      </c>
      <c r="BN43" s="92">
        <f t="shared" si="48"/>
        <v>0</v>
      </c>
      <c r="BO43" s="92">
        <f t="shared" si="49"/>
        <v>3320</v>
      </c>
      <c r="BP43" s="211">
        <f t="shared" si="50"/>
        <v>4642</v>
      </c>
      <c r="BQ43" s="92">
        <f t="shared" si="51"/>
        <v>1662142.67</v>
      </c>
      <c r="BS43" s="16"/>
      <c r="BT43" s="16"/>
      <c r="BU43" s="16"/>
    </row>
    <row r="44" spans="1:81" ht="63" customHeight="1">
      <c r="A44" s="364" t="s">
        <v>359</v>
      </c>
      <c r="B44" s="13"/>
      <c r="C44" s="13" t="s">
        <v>196</v>
      </c>
      <c r="D44" s="13"/>
      <c r="E44" s="315">
        <v>850</v>
      </c>
      <c r="F44" s="890"/>
      <c r="G44" s="8">
        <f t="shared" si="0"/>
        <v>703.601</v>
      </c>
      <c r="H44" s="8">
        <f t="shared" si="44"/>
        <v>0</v>
      </c>
      <c r="I44" s="8">
        <f t="shared" si="39"/>
        <v>703.601</v>
      </c>
      <c r="J44" s="486">
        <f>ROUND((AL44-AK44)/E44,3)</f>
        <v>1.5149999999999999</v>
      </c>
      <c r="K44" s="450">
        <f>ROUND((AM44+AN44+AO44+AP44+AQ44)/E44,3)</f>
        <v>0</v>
      </c>
      <c r="L44" s="450">
        <f>ROUND((AS44+AT44+AU44+AV44+AW44)/E44,3)</f>
        <v>0</v>
      </c>
      <c r="M44" s="450">
        <f>ROUND((AZ44+BA44)/E44,3)</f>
        <v>0</v>
      </c>
      <c r="N44" s="452">
        <f t="shared" si="52"/>
        <v>0</v>
      </c>
      <c r="O44" s="452">
        <f t="shared" si="45"/>
        <v>1.98</v>
      </c>
      <c r="P44" s="488">
        <f>ROUND(AK44/E44,3)</f>
        <v>2.3530000000000002</v>
      </c>
      <c r="Q44" s="8">
        <f t="shared" si="40"/>
        <v>709.44899999999996</v>
      </c>
      <c r="R44" s="8">
        <f t="shared" si="30"/>
        <v>0</v>
      </c>
      <c r="S44" s="8">
        <f t="shared" si="53"/>
        <v>0</v>
      </c>
      <c r="T44" s="39">
        <f t="shared" si="23"/>
        <v>709.44899999999996</v>
      </c>
      <c r="U44" s="659"/>
      <c r="V44" s="15">
        <f>1713324.67-V43</f>
        <v>454914</v>
      </c>
      <c r="W44" s="15">
        <f>538917-W43</f>
        <v>143147</v>
      </c>
      <c r="X44" s="15"/>
      <c r="Y44" s="15"/>
      <c r="Z44" s="15"/>
      <c r="AA44" s="15"/>
      <c r="AB44" s="15"/>
      <c r="AC44" s="15"/>
      <c r="AD44" s="15">
        <v>788</v>
      </c>
      <c r="AE44" s="15"/>
      <c r="AF44" s="15">
        <v>500</v>
      </c>
      <c r="AG44" s="15"/>
      <c r="AH44" s="15"/>
      <c r="AI44" s="15"/>
      <c r="AJ44" s="15"/>
      <c r="AK44" s="15">
        <v>2000</v>
      </c>
      <c r="AL44" s="15">
        <f>SUM(AD44:AK44)</f>
        <v>3288</v>
      </c>
      <c r="AM44" s="15"/>
      <c r="AN44" s="15"/>
      <c r="AO44" s="15"/>
      <c r="AP44" s="15"/>
      <c r="AQ44" s="15"/>
      <c r="AR44" s="902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>
        <v>1680</v>
      </c>
      <c r="BG44" s="15"/>
      <c r="BH44" s="15">
        <f t="shared" si="46"/>
        <v>603029</v>
      </c>
      <c r="BI44" s="15"/>
      <c r="BJ44" s="15"/>
      <c r="BK44" s="24">
        <f t="shared" si="26"/>
        <v>709.45</v>
      </c>
      <c r="BL44" s="92">
        <f t="shared" si="47"/>
        <v>454914</v>
      </c>
      <c r="BM44" s="92">
        <f t="shared" si="47"/>
        <v>143147</v>
      </c>
      <c r="BN44" s="92">
        <f t="shared" si="48"/>
        <v>0</v>
      </c>
      <c r="BO44" s="92">
        <f t="shared" si="49"/>
        <v>1680</v>
      </c>
      <c r="BP44" s="211">
        <f t="shared" si="50"/>
        <v>3288</v>
      </c>
      <c r="BQ44" s="92">
        <f t="shared" si="51"/>
        <v>603029</v>
      </c>
    </row>
    <row r="45" spans="1:81" ht="36.75" customHeight="1">
      <c r="A45" s="493" t="s">
        <v>255</v>
      </c>
      <c r="B45" s="493"/>
      <c r="C45" s="493" t="s">
        <v>252</v>
      </c>
      <c r="D45" s="494"/>
      <c r="E45" s="495">
        <f>2310+850</f>
        <v>3160</v>
      </c>
      <c r="F45" s="496"/>
      <c r="G45" s="489">
        <f>ROUND((V45+W45)/E45,3)</f>
        <v>712.73500000000001</v>
      </c>
      <c r="H45" s="489">
        <f>ROUND((X45+Y45)/E45,3)</f>
        <v>0</v>
      </c>
      <c r="I45" s="489">
        <f t="shared" si="39"/>
        <v>712.73500000000001</v>
      </c>
      <c r="J45" s="490">
        <f>ROUND((AL45-AK45)/E45,3)</f>
        <v>1.244</v>
      </c>
      <c r="K45" s="489">
        <f>ROUND((AM45+AN45+AO45+AP45+AQ45)/E45,3)</f>
        <v>0</v>
      </c>
      <c r="L45" s="489">
        <f>ROUND((AS45+AT45+AU45+AV45+AW45)/E45,3)</f>
        <v>0</v>
      </c>
      <c r="M45" s="489">
        <f>ROUND((AZ45+BA45)/E45,3)</f>
        <v>0</v>
      </c>
      <c r="N45" s="491">
        <f t="shared" si="52"/>
        <v>0</v>
      </c>
      <c r="O45" s="491">
        <f>ROUND(BF45/E45,3)</f>
        <v>1.5820000000000001</v>
      </c>
      <c r="P45" s="492">
        <f>ROUND(AK45/E45,3)</f>
        <v>1.266</v>
      </c>
      <c r="Q45" s="489">
        <f t="shared" si="40"/>
        <v>716.827</v>
      </c>
      <c r="R45" s="489">
        <f t="shared" si="30"/>
        <v>0</v>
      </c>
      <c r="S45" s="489">
        <f t="shared" si="53"/>
        <v>0</v>
      </c>
      <c r="T45" s="489">
        <f t="shared" si="23"/>
        <v>716.827</v>
      </c>
      <c r="U45" s="497"/>
      <c r="V45" s="498">
        <f>V39+V40+V41+V42+V43+V44</f>
        <v>1713324.67</v>
      </c>
      <c r="W45" s="498">
        <f>W39+W40+W41+W42+W43+W44</f>
        <v>538917</v>
      </c>
      <c r="X45" s="498">
        <f t="shared" ref="X45:BQ45" si="54">X39+X40+X41+X42+X43+X44</f>
        <v>0</v>
      </c>
      <c r="Y45" s="498">
        <f t="shared" si="54"/>
        <v>0</v>
      </c>
      <c r="Z45" s="498">
        <f t="shared" si="54"/>
        <v>0</v>
      </c>
      <c r="AA45" s="498">
        <f t="shared" si="54"/>
        <v>0</v>
      </c>
      <c r="AB45" s="498">
        <f t="shared" si="54"/>
        <v>0</v>
      </c>
      <c r="AC45" s="498">
        <f t="shared" si="54"/>
        <v>0</v>
      </c>
      <c r="AD45" s="498">
        <f t="shared" si="54"/>
        <v>2930</v>
      </c>
      <c r="AE45" s="498">
        <f t="shared" si="54"/>
        <v>0</v>
      </c>
      <c r="AF45" s="498">
        <f t="shared" si="54"/>
        <v>1000</v>
      </c>
      <c r="AG45" s="498">
        <f t="shared" si="54"/>
        <v>0</v>
      </c>
      <c r="AH45" s="498">
        <f t="shared" si="54"/>
        <v>0</v>
      </c>
      <c r="AI45" s="498">
        <f t="shared" si="54"/>
        <v>0</v>
      </c>
      <c r="AJ45" s="498">
        <f t="shared" si="54"/>
        <v>0</v>
      </c>
      <c r="AK45" s="498">
        <f t="shared" si="54"/>
        <v>4000</v>
      </c>
      <c r="AL45" s="498">
        <f t="shared" si="54"/>
        <v>7930</v>
      </c>
      <c r="AM45" s="498">
        <f t="shared" si="54"/>
        <v>0</v>
      </c>
      <c r="AN45" s="498">
        <f t="shared" si="54"/>
        <v>0</v>
      </c>
      <c r="AO45" s="498">
        <f t="shared" si="54"/>
        <v>0</v>
      </c>
      <c r="AP45" s="498">
        <f t="shared" si="54"/>
        <v>0</v>
      </c>
      <c r="AQ45" s="498">
        <f t="shared" si="54"/>
        <v>0</v>
      </c>
      <c r="AR45" s="498"/>
      <c r="AS45" s="498">
        <f t="shared" si="54"/>
        <v>0</v>
      </c>
      <c r="AT45" s="498">
        <f t="shared" si="54"/>
        <v>0</v>
      </c>
      <c r="AU45" s="498">
        <f t="shared" si="54"/>
        <v>0</v>
      </c>
      <c r="AV45" s="498">
        <f t="shared" si="54"/>
        <v>0</v>
      </c>
      <c r="AW45" s="498">
        <f t="shared" si="54"/>
        <v>0</v>
      </c>
      <c r="AX45" s="498">
        <f t="shared" si="54"/>
        <v>0</v>
      </c>
      <c r="AY45" s="498">
        <f t="shared" si="54"/>
        <v>0</v>
      </c>
      <c r="AZ45" s="498">
        <f t="shared" si="54"/>
        <v>0</v>
      </c>
      <c r="BA45" s="498">
        <f t="shared" si="54"/>
        <v>0</v>
      </c>
      <c r="BB45" s="498">
        <f t="shared" si="54"/>
        <v>0</v>
      </c>
      <c r="BC45" s="498">
        <f t="shared" si="54"/>
        <v>0</v>
      </c>
      <c r="BD45" s="498">
        <f t="shared" si="54"/>
        <v>0</v>
      </c>
      <c r="BE45" s="498">
        <f t="shared" si="54"/>
        <v>0</v>
      </c>
      <c r="BF45" s="498">
        <f t="shared" si="54"/>
        <v>5000</v>
      </c>
      <c r="BG45" s="498">
        <f t="shared" si="54"/>
        <v>0</v>
      </c>
      <c r="BH45" s="498">
        <f t="shared" si="54"/>
        <v>2265171.67</v>
      </c>
      <c r="BI45" s="502">
        <f t="shared" si="54"/>
        <v>0</v>
      </c>
      <c r="BJ45" s="502">
        <f t="shared" si="54"/>
        <v>0</v>
      </c>
      <c r="BK45" s="498">
        <f>ROUND(BH45/E45,3)</f>
        <v>716.82600000000002</v>
      </c>
      <c r="BL45" s="633">
        <f>BL39+BL40+BL41+BL42+BL43+BL44</f>
        <v>1713324.67</v>
      </c>
      <c r="BM45" s="633">
        <f t="shared" si="54"/>
        <v>538917</v>
      </c>
      <c r="BN45" s="633">
        <f t="shared" si="54"/>
        <v>0</v>
      </c>
      <c r="BO45" s="633">
        <f t="shared" si="54"/>
        <v>5000</v>
      </c>
      <c r="BP45" s="633">
        <f t="shared" si="54"/>
        <v>7930</v>
      </c>
      <c r="BQ45" s="633">
        <f t="shared" si="54"/>
        <v>2265171.67</v>
      </c>
    </row>
    <row r="46" spans="1:81" s="154" customFormat="1" ht="32.25" customHeight="1">
      <c r="A46" s="512" t="s">
        <v>296</v>
      </c>
      <c r="B46" s="512"/>
      <c r="C46" s="512"/>
      <c r="D46" s="513"/>
      <c r="E46" s="514">
        <f>E32+E38+E45</f>
        <v>77799</v>
      </c>
      <c r="F46" s="515"/>
      <c r="G46" s="516">
        <f t="shared" si="0"/>
        <v>266.74900000000002</v>
      </c>
      <c r="H46" s="516">
        <f>ROUND((X46+Y46)/E46,3)</f>
        <v>77.042000000000002</v>
      </c>
      <c r="I46" s="516">
        <f>G46+H46</f>
        <v>343.79100000000005</v>
      </c>
      <c r="J46" s="517">
        <f>ROUND((AL46-AK46)/E46,3)</f>
        <v>0.86299999999999999</v>
      </c>
      <c r="K46" s="516">
        <f>ROUND((AM46+AN46+AO46+AP46+AQ46)/E46,3)</f>
        <v>1.306</v>
      </c>
      <c r="L46" s="516">
        <f>ROUND((AS46+AT46+AU46+AV46+AW46)/E46,3)</f>
        <v>1.431</v>
      </c>
      <c r="M46" s="516">
        <f>ROUND((AZ46+BA46)/E46,3)</f>
        <v>3.0950000000000002</v>
      </c>
      <c r="N46" s="518">
        <f t="shared" si="52"/>
        <v>0</v>
      </c>
      <c r="O46" s="518">
        <f t="shared" si="45"/>
        <v>13.91</v>
      </c>
      <c r="P46" s="519">
        <f>ROUND(AK46/E46,3)</f>
        <v>0.42399999999999999</v>
      </c>
      <c r="Q46" s="516">
        <f>P46+O46+N46+M46+L46+K46+J46+I46</f>
        <v>364.82000000000005</v>
      </c>
      <c r="R46" s="516">
        <f t="shared" si="30"/>
        <v>13.93</v>
      </c>
      <c r="S46" s="516">
        <f t="shared" si="53"/>
        <v>0.05</v>
      </c>
      <c r="T46" s="516">
        <f>Q46+R46+S46</f>
        <v>378.80000000000007</v>
      </c>
      <c r="U46" s="520"/>
      <c r="V46" s="521">
        <f>V45+V38+V32</f>
        <v>15922619.83</v>
      </c>
      <c r="W46" s="521">
        <f t="shared" ref="W46:BO46" si="55">W45+W38+W32</f>
        <v>4830208.84</v>
      </c>
      <c r="X46" s="521">
        <f t="shared" si="55"/>
        <v>4603546</v>
      </c>
      <c r="Y46" s="521">
        <f t="shared" si="55"/>
        <v>1390271</v>
      </c>
      <c r="Z46" s="521">
        <f t="shared" si="55"/>
        <v>617480</v>
      </c>
      <c r="AA46" s="521">
        <f t="shared" si="55"/>
        <v>366046</v>
      </c>
      <c r="AB46" s="521">
        <f t="shared" si="55"/>
        <v>1042</v>
      </c>
      <c r="AC46" s="521">
        <f t="shared" si="55"/>
        <v>99834</v>
      </c>
      <c r="AD46" s="521">
        <f t="shared" si="55"/>
        <v>46790</v>
      </c>
      <c r="AE46" s="521">
        <f t="shared" si="55"/>
        <v>0</v>
      </c>
      <c r="AF46" s="521">
        <f t="shared" si="55"/>
        <v>1000</v>
      </c>
      <c r="AG46" s="521">
        <f t="shared" si="55"/>
        <v>14882</v>
      </c>
      <c r="AH46" s="521">
        <f t="shared" si="55"/>
        <v>0</v>
      </c>
      <c r="AI46" s="521">
        <f t="shared" si="55"/>
        <v>4440</v>
      </c>
      <c r="AJ46" s="521">
        <f t="shared" si="55"/>
        <v>0</v>
      </c>
      <c r="AK46" s="521">
        <f t="shared" si="55"/>
        <v>33000</v>
      </c>
      <c r="AL46" s="521">
        <f t="shared" si="55"/>
        <v>100112</v>
      </c>
      <c r="AM46" s="521">
        <f t="shared" si="55"/>
        <v>92790</v>
      </c>
      <c r="AN46" s="521">
        <f t="shared" si="55"/>
        <v>0</v>
      </c>
      <c r="AO46" s="521">
        <f t="shared" si="55"/>
        <v>0</v>
      </c>
      <c r="AP46" s="521">
        <f t="shared" si="55"/>
        <v>8845</v>
      </c>
      <c r="AQ46" s="521">
        <f t="shared" si="55"/>
        <v>0</v>
      </c>
      <c r="AR46" s="521"/>
      <c r="AS46" s="521">
        <f t="shared" si="55"/>
        <v>15542</v>
      </c>
      <c r="AT46" s="521">
        <f t="shared" si="55"/>
        <v>37734</v>
      </c>
      <c r="AU46" s="521">
        <f t="shared" si="55"/>
        <v>26455</v>
      </c>
      <c r="AV46" s="521">
        <f t="shared" si="55"/>
        <v>31565</v>
      </c>
      <c r="AW46" s="521">
        <f t="shared" si="55"/>
        <v>0</v>
      </c>
      <c r="AX46" s="521">
        <f t="shared" si="55"/>
        <v>3526.36</v>
      </c>
      <c r="AY46" s="521">
        <f t="shared" si="55"/>
        <v>0</v>
      </c>
      <c r="AZ46" s="521">
        <f t="shared" si="55"/>
        <v>232514</v>
      </c>
      <c r="BA46" s="521">
        <f t="shared" si="55"/>
        <v>8298</v>
      </c>
      <c r="BB46" s="521">
        <f t="shared" si="55"/>
        <v>0</v>
      </c>
      <c r="BC46" s="521">
        <f t="shared" si="55"/>
        <v>0</v>
      </c>
      <c r="BD46" s="521">
        <f t="shared" si="55"/>
        <v>0</v>
      </c>
      <c r="BE46" s="521">
        <f t="shared" si="55"/>
        <v>0</v>
      </c>
      <c r="BF46" s="521">
        <f>BF45+BF38+BF32</f>
        <v>1081969</v>
      </c>
      <c r="BG46" s="521">
        <f t="shared" si="55"/>
        <v>0</v>
      </c>
      <c r="BH46" s="521">
        <f>BH45+BH38+BH32</f>
        <v>29470398.030000001</v>
      </c>
      <c r="BI46" s="522">
        <f t="shared" si="55"/>
        <v>0</v>
      </c>
      <c r="BJ46" s="522">
        <f t="shared" si="55"/>
        <v>0</v>
      </c>
      <c r="BK46" s="521">
        <f>ROUND(BH46/E46,3)</f>
        <v>378.80200000000002</v>
      </c>
      <c r="BL46" s="521">
        <f>BL45+BL38+BL32</f>
        <v>20526165.829999998</v>
      </c>
      <c r="BM46" s="521">
        <f t="shared" si="55"/>
        <v>6220479.8399999999</v>
      </c>
      <c r="BN46" s="521">
        <f t="shared" si="55"/>
        <v>1084402</v>
      </c>
      <c r="BO46" s="521">
        <f t="shared" si="55"/>
        <v>1081969</v>
      </c>
      <c r="BP46" s="521">
        <f>BP45+BP38+BP32</f>
        <v>557381.36</v>
      </c>
      <c r="BQ46" s="521">
        <f>BQ45+BQ38+BQ32</f>
        <v>29470398.030000001</v>
      </c>
    </row>
    <row r="47" spans="1:81" ht="15" hidden="1" customHeight="1" outlineLevel="1">
      <c r="A47" s="648" t="s">
        <v>194</v>
      </c>
      <c r="B47" s="648" t="s">
        <v>197</v>
      </c>
      <c r="C47" s="648" t="s">
        <v>189</v>
      </c>
      <c r="D47" s="9" t="s">
        <v>190</v>
      </c>
      <c r="E47" s="10">
        <v>0</v>
      </c>
      <c r="F47" s="671" t="s">
        <v>180</v>
      </c>
      <c r="G47" s="8" t="e">
        <f t="shared" si="0"/>
        <v>#DIV/0!</v>
      </c>
      <c r="H47" s="8" t="e">
        <f t="shared" ref="H47:H69" si="56">ROUND((X47+Y47)/E47,2)</f>
        <v>#DIV/0!</v>
      </c>
      <c r="I47" s="8" t="e">
        <f t="shared" si="39"/>
        <v>#DIV/0!</v>
      </c>
      <c r="J47" s="8" t="e">
        <f t="shared" ref="J47:J52" si="57">ROUND(AL47/E47,3)</f>
        <v>#DIV/0!</v>
      </c>
      <c r="K47" s="8" t="e">
        <f t="shared" ref="K47:K52" si="58">ROUND((AM47+AN47+AO47+AP47+AQ47)/E47,2)</f>
        <v>#DIV/0!</v>
      </c>
      <c r="L47" s="8" t="e">
        <f t="shared" ref="L47:L52" si="59">ROUND((AS47+AT47+AU47+AV47+AW47)/E47,2)</f>
        <v>#DIV/0!</v>
      </c>
      <c r="M47" s="8" t="e">
        <f t="shared" ref="M47:M52" si="60">ROUND((AZ47+BA47)/E47,2)</f>
        <v>#DIV/0!</v>
      </c>
      <c r="N47" s="11" t="e">
        <f t="shared" si="52"/>
        <v>#DIV/0!</v>
      </c>
      <c r="O47" s="11" t="e">
        <f t="shared" si="45"/>
        <v>#DIV/0!</v>
      </c>
      <c r="P47" s="11" t="e">
        <f t="shared" ref="P47:P52" si="61">ROUND(BG47/E47,2)</f>
        <v>#DIV/0!</v>
      </c>
      <c r="Q47" s="8" t="e">
        <f t="shared" si="40"/>
        <v>#DIV/0!</v>
      </c>
      <c r="R47" s="8" t="e">
        <f t="shared" si="30"/>
        <v>#DIV/0!</v>
      </c>
      <c r="S47" s="8" t="e">
        <f t="shared" si="53"/>
        <v>#DIV/0!</v>
      </c>
      <c r="T47" s="39" t="e">
        <f t="shared" si="23"/>
        <v>#DIV/0!</v>
      </c>
      <c r="U47" s="671" t="s">
        <v>180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705" t="s">
        <v>180</v>
      </c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>
        <f t="shared" ref="BH47:BH52" si="62">V47+W47+X47+Y47+Z47+AA47+AC47+AL47+AM47+AN47+AO47+AP47+AS47+AT47+AU47+AV47+AW47+AX47+AY47+AZ47+BA47+BB47+BC47+BD47+BE47+BF47+BG47+AQ47</f>
        <v>0</v>
      </c>
      <c r="BI47" s="15"/>
      <c r="BJ47" s="15"/>
      <c r="BK47" s="24" t="e">
        <f t="shared" ref="BK47:BK60" si="63">ROUND(BH47/E47,2)</f>
        <v>#DIV/0!</v>
      </c>
      <c r="BL47" s="92">
        <f t="shared" ref="BL47:BM52" si="64">V47+X47</f>
        <v>0</v>
      </c>
      <c r="BM47" s="92">
        <f t="shared" si="64"/>
        <v>0</v>
      </c>
      <c r="BN47" s="92">
        <f t="shared" ref="BN47:BN52" si="65">Z47+AA47+AC47</f>
        <v>0</v>
      </c>
      <c r="BO47" s="92">
        <f t="shared" ref="BO47:BO52" si="66">BF47</f>
        <v>0</v>
      </c>
      <c r="BP47" s="92">
        <f t="shared" ref="BP47:BP52" si="67">BG47+AL47+AM47+AN47+AO47+AP47+AQ47+AS47+AT47+AU47+AV47+AW47+AX47+AY47+AZ47+BA47+BB47+BC47+BD47</f>
        <v>0</v>
      </c>
      <c r="BQ47" s="92">
        <f t="shared" ref="BQ47:BQ52" si="68">BL47+BM47+BN47+BO47+BP47</f>
        <v>0</v>
      </c>
    </row>
    <row r="48" spans="1:81" ht="15" hidden="1" customHeight="1" outlineLevel="1">
      <c r="A48" s="789"/>
      <c r="B48" s="660"/>
      <c r="C48" s="660"/>
      <c r="D48" s="9" t="s">
        <v>191</v>
      </c>
      <c r="E48" s="10">
        <v>0</v>
      </c>
      <c r="F48" s="889"/>
      <c r="G48" s="8" t="e">
        <f t="shared" si="0"/>
        <v>#DIV/0!</v>
      </c>
      <c r="H48" s="8" t="e">
        <f t="shared" si="56"/>
        <v>#DIV/0!</v>
      </c>
      <c r="I48" s="8" t="e">
        <f t="shared" si="39"/>
        <v>#DIV/0!</v>
      </c>
      <c r="J48" s="8" t="e">
        <f t="shared" si="57"/>
        <v>#DIV/0!</v>
      </c>
      <c r="K48" s="8" t="e">
        <f t="shared" si="58"/>
        <v>#DIV/0!</v>
      </c>
      <c r="L48" s="8" t="e">
        <f t="shared" si="59"/>
        <v>#DIV/0!</v>
      </c>
      <c r="M48" s="8" t="e">
        <f t="shared" si="60"/>
        <v>#DIV/0!</v>
      </c>
      <c r="N48" s="11" t="e">
        <f t="shared" si="52"/>
        <v>#DIV/0!</v>
      </c>
      <c r="O48" s="11" t="e">
        <f t="shared" si="45"/>
        <v>#DIV/0!</v>
      </c>
      <c r="P48" s="11" t="e">
        <f t="shared" si="61"/>
        <v>#DIV/0!</v>
      </c>
      <c r="Q48" s="8" t="e">
        <f t="shared" si="40"/>
        <v>#DIV/0!</v>
      </c>
      <c r="R48" s="8" t="e">
        <f t="shared" si="30"/>
        <v>#DIV/0!</v>
      </c>
      <c r="S48" s="8" t="e">
        <f t="shared" si="53"/>
        <v>#DIV/0!</v>
      </c>
      <c r="T48" s="39" t="e">
        <f t="shared" si="23"/>
        <v>#DIV/0!</v>
      </c>
      <c r="U48" s="883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901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>
        <f t="shared" si="62"/>
        <v>0</v>
      </c>
      <c r="BI48" s="15"/>
      <c r="BJ48" s="15"/>
      <c r="BK48" s="24" t="e">
        <f t="shared" si="63"/>
        <v>#DIV/0!</v>
      </c>
      <c r="BL48" s="92">
        <f t="shared" si="64"/>
        <v>0</v>
      </c>
      <c r="BM48" s="92">
        <f t="shared" si="64"/>
        <v>0</v>
      </c>
      <c r="BN48" s="92">
        <f t="shared" si="65"/>
        <v>0</v>
      </c>
      <c r="BO48" s="92">
        <f t="shared" si="66"/>
        <v>0</v>
      </c>
      <c r="BP48" s="92">
        <f t="shared" si="67"/>
        <v>0</v>
      </c>
      <c r="BQ48" s="92">
        <f t="shared" si="68"/>
        <v>0</v>
      </c>
    </row>
    <row r="49" spans="1:69" ht="15" hidden="1" customHeight="1" outlineLevel="1">
      <c r="A49" s="789"/>
      <c r="B49" s="660"/>
      <c r="C49" s="660"/>
      <c r="D49" s="9" t="s">
        <v>192</v>
      </c>
      <c r="E49" s="10">
        <v>0</v>
      </c>
      <c r="F49" s="889"/>
      <c r="G49" s="8" t="e">
        <f t="shared" si="0"/>
        <v>#DIV/0!</v>
      </c>
      <c r="H49" s="8" t="e">
        <f t="shared" si="56"/>
        <v>#DIV/0!</v>
      </c>
      <c r="I49" s="8" t="e">
        <f t="shared" si="39"/>
        <v>#DIV/0!</v>
      </c>
      <c r="J49" s="8" t="e">
        <f t="shared" si="57"/>
        <v>#DIV/0!</v>
      </c>
      <c r="K49" s="8" t="e">
        <f t="shared" si="58"/>
        <v>#DIV/0!</v>
      </c>
      <c r="L49" s="8" t="e">
        <f t="shared" si="59"/>
        <v>#DIV/0!</v>
      </c>
      <c r="M49" s="8" t="e">
        <f t="shared" si="60"/>
        <v>#DIV/0!</v>
      </c>
      <c r="N49" s="11" t="e">
        <f t="shared" si="52"/>
        <v>#DIV/0!</v>
      </c>
      <c r="O49" s="11" t="e">
        <f t="shared" si="45"/>
        <v>#DIV/0!</v>
      </c>
      <c r="P49" s="11" t="e">
        <f t="shared" si="61"/>
        <v>#DIV/0!</v>
      </c>
      <c r="Q49" s="8" t="e">
        <f t="shared" si="40"/>
        <v>#DIV/0!</v>
      </c>
      <c r="R49" s="8" t="e">
        <f t="shared" si="30"/>
        <v>#DIV/0!</v>
      </c>
      <c r="S49" s="8" t="e">
        <f t="shared" si="53"/>
        <v>#DIV/0!</v>
      </c>
      <c r="T49" s="39" t="e">
        <f t="shared" si="23"/>
        <v>#DIV/0!</v>
      </c>
      <c r="U49" s="883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901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>
        <f t="shared" si="62"/>
        <v>0</v>
      </c>
      <c r="BI49" s="15"/>
      <c r="BJ49" s="15"/>
      <c r="BK49" s="24" t="e">
        <f t="shared" si="63"/>
        <v>#DIV/0!</v>
      </c>
      <c r="BL49" s="92">
        <f t="shared" si="64"/>
        <v>0</v>
      </c>
      <c r="BM49" s="92">
        <f t="shared" si="64"/>
        <v>0</v>
      </c>
      <c r="BN49" s="92">
        <f t="shared" si="65"/>
        <v>0</v>
      </c>
      <c r="BO49" s="92">
        <f t="shared" si="66"/>
        <v>0</v>
      </c>
      <c r="BP49" s="92">
        <f t="shared" si="67"/>
        <v>0</v>
      </c>
      <c r="BQ49" s="92">
        <f t="shared" si="68"/>
        <v>0</v>
      </c>
    </row>
    <row r="50" spans="1:69" ht="15" hidden="1" customHeight="1" outlineLevel="1">
      <c r="A50" s="789"/>
      <c r="B50" s="660"/>
      <c r="C50" s="660"/>
      <c r="D50" s="9" t="s">
        <v>193</v>
      </c>
      <c r="E50" s="10">
        <v>0</v>
      </c>
      <c r="F50" s="889"/>
      <c r="G50" s="8" t="e">
        <f t="shared" si="0"/>
        <v>#DIV/0!</v>
      </c>
      <c r="H50" s="8" t="e">
        <f t="shared" si="56"/>
        <v>#DIV/0!</v>
      </c>
      <c r="I50" s="8" t="e">
        <f t="shared" si="39"/>
        <v>#DIV/0!</v>
      </c>
      <c r="J50" s="8" t="e">
        <f t="shared" si="57"/>
        <v>#DIV/0!</v>
      </c>
      <c r="K50" s="8" t="e">
        <f t="shared" si="58"/>
        <v>#DIV/0!</v>
      </c>
      <c r="L50" s="8" t="e">
        <f t="shared" si="59"/>
        <v>#DIV/0!</v>
      </c>
      <c r="M50" s="8" t="e">
        <f t="shared" si="60"/>
        <v>#DIV/0!</v>
      </c>
      <c r="N50" s="11" t="e">
        <f t="shared" si="52"/>
        <v>#DIV/0!</v>
      </c>
      <c r="O50" s="11" t="e">
        <f t="shared" si="45"/>
        <v>#DIV/0!</v>
      </c>
      <c r="P50" s="11" t="e">
        <f t="shared" si="61"/>
        <v>#DIV/0!</v>
      </c>
      <c r="Q50" s="8" t="e">
        <f t="shared" si="40"/>
        <v>#DIV/0!</v>
      </c>
      <c r="R50" s="8" t="e">
        <f t="shared" si="30"/>
        <v>#DIV/0!</v>
      </c>
      <c r="S50" s="8" t="e">
        <f t="shared" si="53"/>
        <v>#DIV/0!</v>
      </c>
      <c r="T50" s="39" t="e">
        <f t="shared" si="23"/>
        <v>#DIV/0!</v>
      </c>
      <c r="U50" s="883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901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>
        <f t="shared" si="62"/>
        <v>0</v>
      </c>
      <c r="BI50" s="15"/>
      <c r="BJ50" s="15"/>
      <c r="BK50" s="24" t="e">
        <f t="shared" si="63"/>
        <v>#DIV/0!</v>
      </c>
      <c r="BL50" s="92">
        <f t="shared" si="64"/>
        <v>0</v>
      </c>
      <c r="BM50" s="92">
        <f t="shared" si="64"/>
        <v>0</v>
      </c>
      <c r="BN50" s="92">
        <f t="shared" si="65"/>
        <v>0</v>
      </c>
      <c r="BO50" s="92">
        <f t="shared" si="66"/>
        <v>0</v>
      </c>
      <c r="BP50" s="92">
        <f t="shared" si="67"/>
        <v>0</v>
      </c>
      <c r="BQ50" s="92">
        <f t="shared" si="68"/>
        <v>0</v>
      </c>
    </row>
    <row r="51" spans="1:69" ht="45" hidden="1" customHeight="1" outlineLevel="1">
      <c r="A51" s="649"/>
      <c r="B51" s="9" t="s">
        <v>198</v>
      </c>
      <c r="C51" s="9" t="s">
        <v>196</v>
      </c>
      <c r="D51" s="9"/>
      <c r="E51" s="10">
        <v>0</v>
      </c>
      <c r="F51" s="889"/>
      <c r="G51" s="8" t="e">
        <f t="shared" si="0"/>
        <v>#DIV/0!</v>
      </c>
      <c r="H51" s="8" t="e">
        <f t="shared" si="56"/>
        <v>#DIV/0!</v>
      </c>
      <c r="I51" s="8" t="e">
        <f t="shared" si="39"/>
        <v>#DIV/0!</v>
      </c>
      <c r="J51" s="8" t="e">
        <f t="shared" si="57"/>
        <v>#DIV/0!</v>
      </c>
      <c r="K51" s="8" t="e">
        <f t="shared" si="58"/>
        <v>#DIV/0!</v>
      </c>
      <c r="L51" s="8" t="e">
        <f t="shared" si="59"/>
        <v>#DIV/0!</v>
      </c>
      <c r="M51" s="8" t="e">
        <f t="shared" si="60"/>
        <v>#DIV/0!</v>
      </c>
      <c r="N51" s="11" t="e">
        <f t="shared" si="52"/>
        <v>#DIV/0!</v>
      </c>
      <c r="O51" s="11" t="e">
        <f t="shared" si="45"/>
        <v>#DIV/0!</v>
      </c>
      <c r="P51" s="11" t="e">
        <f t="shared" si="61"/>
        <v>#DIV/0!</v>
      </c>
      <c r="Q51" s="8" t="e">
        <f t="shared" si="40"/>
        <v>#DIV/0!</v>
      </c>
      <c r="R51" s="8" t="e">
        <f t="shared" si="30"/>
        <v>#DIV/0!</v>
      </c>
      <c r="S51" s="8" t="e">
        <f t="shared" si="53"/>
        <v>#DIV/0!</v>
      </c>
      <c r="T51" s="39" t="e">
        <f t="shared" si="23"/>
        <v>#DIV/0!</v>
      </c>
      <c r="U51" s="883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901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>
        <f t="shared" si="62"/>
        <v>0</v>
      </c>
      <c r="BI51" s="15"/>
      <c r="BJ51" s="15"/>
      <c r="BK51" s="24" t="e">
        <f t="shared" si="63"/>
        <v>#DIV/0!</v>
      </c>
      <c r="BL51" s="92">
        <f t="shared" si="64"/>
        <v>0</v>
      </c>
      <c r="BM51" s="92">
        <f t="shared" si="64"/>
        <v>0</v>
      </c>
      <c r="BN51" s="92">
        <f t="shared" si="65"/>
        <v>0</v>
      </c>
      <c r="BO51" s="92">
        <f t="shared" si="66"/>
        <v>0</v>
      </c>
      <c r="BP51" s="92">
        <f t="shared" si="67"/>
        <v>0</v>
      </c>
      <c r="BQ51" s="92">
        <f t="shared" si="68"/>
        <v>0</v>
      </c>
    </row>
    <row r="52" spans="1:69" ht="61.5" customHeight="1" collapsed="1">
      <c r="A52" s="364" t="s">
        <v>359</v>
      </c>
      <c r="B52" s="13"/>
      <c r="C52" s="13" t="s">
        <v>196</v>
      </c>
      <c r="D52" s="13"/>
      <c r="E52" s="597">
        <v>75</v>
      </c>
      <c r="F52" s="890"/>
      <c r="G52" s="8">
        <f t="shared" si="0"/>
        <v>96.28</v>
      </c>
      <c r="H52" s="8">
        <f t="shared" si="56"/>
        <v>0</v>
      </c>
      <c r="I52" s="8">
        <f t="shared" si="39"/>
        <v>96.28</v>
      </c>
      <c r="J52" s="8">
        <f t="shared" si="57"/>
        <v>1.6</v>
      </c>
      <c r="K52" s="8">
        <f t="shared" si="58"/>
        <v>0</v>
      </c>
      <c r="L52" s="8">
        <f t="shared" si="59"/>
        <v>0</v>
      </c>
      <c r="M52" s="8">
        <f t="shared" si="60"/>
        <v>0</v>
      </c>
      <c r="N52" s="11">
        <f t="shared" si="52"/>
        <v>0</v>
      </c>
      <c r="O52" s="11">
        <f t="shared" si="45"/>
        <v>12.98</v>
      </c>
      <c r="P52" s="11">
        <f t="shared" si="61"/>
        <v>0</v>
      </c>
      <c r="Q52" s="8">
        <f t="shared" si="40"/>
        <v>110.86</v>
      </c>
      <c r="R52" s="8">
        <f t="shared" si="30"/>
        <v>0</v>
      </c>
      <c r="S52" s="8">
        <f t="shared" si="53"/>
        <v>0</v>
      </c>
      <c r="T52" s="39">
        <f t="shared" si="23"/>
        <v>110.86</v>
      </c>
      <c r="U52" s="659"/>
      <c r="V52" s="15">
        <v>5544.75</v>
      </c>
      <c r="W52" s="15">
        <v>1676.25</v>
      </c>
      <c r="X52" s="15">
        <v>0</v>
      </c>
      <c r="Y52" s="15">
        <v>0</v>
      </c>
      <c r="Z52" s="15">
        <v>0</v>
      </c>
      <c r="AA52" s="15">
        <v>0</v>
      </c>
      <c r="AB52" s="15"/>
      <c r="AC52" s="15">
        <v>0</v>
      </c>
      <c r="AD52" s="15">
        <v>120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/>
      <c r="AK52" s="15">
        <v>0</v>
      </c>
      <c r="AL52" s="15">
        <f>SUM(AD52:AK52)</f>
        <v>120</v>
      </c>
      <c r="AM52" s="15">
        <v>0</v>
      </c>
      <c r="AN52" s="15">
        <v>0</v>
      </c>
      <c r="AO52" s="15">
        <v>0</v>
      </c>
      <c r="AP52" s="15">
        <v>0</v>
      </c>
      <c r="AQ52" s="15"/>
      <c r="AR52" s="902"/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/>
      <c r="AZ52" s="15">
        <v>0</v>
      </c>
      <c r="BA52" s="15">
        <v>0</v>
      </c>
      <c r="BB52" s="15"/>
      <c r="BC52" s="15"/>
      <c r="BD52" s="15">
        <v>0</v>
      </c>
      <c r="BE52" s="15">
        <v>0</v>
      </c>
      <c r="BF52" s="15">
        <v>973.31</v>
      </c>
      <c r="BG52" s="15">
        <v>0</v>
      </c>
      <c r="BH52" s="15">
        <f t="shared" si="62"/>
        <v>8314.31</v>
      </c>
      <c r="BI52" s="15"/>
      <c r="BJ52" s="15"/>
      <c r="BK52" s="24">
        <f t="shared" si="63"/>
        <v>110.86</v>
      </c>
      <c r="BL52" s="92">
        <f t="shared" si="64"/>
        <v>5544.75</v>
      </c>
      <c r="BM52" s="92">
        <f t="shared" si="64"/>
        <v>1676.25</v>
      </c>
      <c r="BN52" s="92">
        <f t="shared" si="65"/>
        <v>0</v>
      </c>
      <c r="BO52" s="92">
        <f t="shared" si="66"/>
        <v>973.31</v>
      </c>
      <c r="BP52" s="211">
        <f t="shared" si="67"/>
        <v>120</v>
      </c>
      <c r="BQ52" s="92">
        <f t="shared" si="68"/>
        <v>8314.31</v>
      </c>
    </row>
    <row r="53" spans="1:69" ht="28.5">
      <c r="A53" s="493" t="s">
        <v>257</v>
      </c>
      <c r="B53" s="493"/>
      <c r="C53" s="493" t="s">
        <v>252</v>
      </c>
      <c r="D53" s="494"/>
      <c r="E53" s="495">
        <f>E52</f>
        <v>75</v>
      </c>
      <c r="F53" s="496"/>
      <c r="G53" s="489">
        <f>ROUND((V53+W53)/E53,2)</f>
        <v>96.28</v>
      </c>
      <c r="H53" s="489">
        <f t="shared" si="56"/>
        <v>0</v>
      </c>
      <c r="I53" s="489">
        <f t="shared" ref="I53:I59" si="69">G53+H53</f>
        <v>96.28</v>
      </c>
      <c r="J53" s="490">
        <f>ROUND((AL53-AK53)/E53,3)</f>
        <v>1.6</v>
      </c>
      <c r="K53" s="489">
        <f>ROUND((AM53+AN53+AO53+AP53+AQ53)/E53,3)</f>
        <v>0</v>
      </c>
      <c r="L53" s="489">
        <f>ROUND((AS53+AT53+AU53+AV53+AW53)/E53,3)</f>
        <v>0</v>
      </c>
      <c r="M53" s="489">
        <f>ROUND((AZ53+BA53)/E53,3)</f>
        <v>0</v>
      </c>
      <c r="N53" s="491">
        <f t="shared" si="52"/>
        <v>0</v>
      </c>
      <c r="O53" s="491">
        <f t="shared" si="45"/>
        <v>12.98</v>
      </c>
      <c r="P53" s="492">
        <f>ROUND(AK53/E53,3)</f>
        <v>0</v>
      </c>
      <c r="Q53" s="489">
        <f t="shared" ref="Q53:Q59" si="70">P53+O53+N53+M53+L53+K53+J53+I53</f>
        <v>110.86</v>
      </c>
      <c r="R53" s="489">
        <f t="shared" si="30"/>
        <v>0</v>
      </c>
      <c r="S53" s="489">
        <f t="shared" si="53"/>
        <v>0</v>
      </c>
      <c r="T53" s="489">
        <f t="shared" si="23"/>
        <v>110.86</v>
      </c>
      <c r="U53" s="497"/>
      <c r="V53" s="498">
        <f>V47+V48+V49+V50+V51+V52</f>
        <v>5544.75</v>
      </c>
      <c r="W53" s="498">
        <f t="shared" ref="W53:BQ53" si="71">W47+W48+W49+W50+W51+W52</f>
        <v>1676.25</v>
      </c>
      <c r="X53" s="498">
        <f t="shared" si="71"/>
        <v>0</v>
      </c>
      <c r="Y53" s="498">
        <f t="shared" si="71"/>
        <v>0</v>
      </c>
      <c r="Z53" s="498">
        <f t="shared" si="71"/>
        <v>0</v>
      </c>
      <c r="AA53" s="498">
        <f t="shared" si="71"/>
        <v>0</v>
      </c>
      <c r="AB53" s="498">
        <f t="shared" si="71"/>
        <v>0</v>
      </c>
      <c r="AC53" s="498">
        <f t="shared" si="71"/>
        <v>0</v>
      </c>
      <c r="AD53" s="498">
        <f t="shared" si="71"/>
        <v>120</v>
      </c>
      <c r="AE53" s="498">
        <f t="shared" si="71"/>
        <v>0</v>
      </c>
      <c r="AF53" s="498">
        <f t="shared" si="71"/>
        <v>0</v>
      </c>
      <c r="AG53" s="498">
        <f t="shared" si="71"/>
        <v>0</v>
      </c>
      <c r="AH53" s="498">
        <f t="shared" si="71"/>
        <v>0</v>
      </c>
      <c r="AI53" s="498">
        <f t="shared" si="71"/>
        <v>0</v>
      </c>
      <c r="AJ53" s="498">
        <f t="shared" si="71"/>
        <v>0</v>
      </c>
      <c r="AK53" s="498">
        <f t="shared" si="71"/>
        <v>0</v>
      </c>
      <c r="AL53" s="498">
        <f t="shared" si="71"/>
        <v>120</v>
      </c>
      <c r="AM53" s="498">
        <f t="shared" si="71"/>
        <v>0</v>
      </c>
      <c r="AN53" s="498">
        <f t="shared" si="71"/>
        <v>0</v>
      </c>
      <c r="AO53" s="498">
        <f t="shared" si="71"/>
        <v>0</v>
      </c>
      <c r="AP53" s="498">
        <f t="shared" si="71"/>
        <v>0</v>
      </c>
      <c r="AQ53" s="498">
        <f t="shared" si="71"/>
        <v>0</v>
      </c>
      <c r="AR53" s="498"/>
      <c r="AS53" s="498">
        <f t="shared" si="71"/>
        <v>0</v>
      </c>
      <c r="AT53" s="498">
        <f t="shared" si="71"/>
        <v>0</v>
      </c>
      <c r="AU53" s="498">
        <f t="shared" si="71"/>
        <v>0</v>
      </c>
      <c r="AV53" s="498">
        <f t="shared" si="71"/>
        <v>0</v>
      </c>
      <c r="AW53" s="498">
        <f t="shared" si="71"/>
        <v>0</v>
      </c>
      <c r="AX53" s="498">
        <f t="shared" si="71"/>
        <v>0</v>
      </c>
      <c r="AY53" s="498">
        <f t="shared" si="71"/>
        <v>0</v>
      </c>
      <c r="AZ53" s="498">
        <f t="shared" si="71"/>
        <v>0</v>
      </c>
      <c r="BA53" s="498">
        <f t="shared" si="71"/>
        <v>0</v>
      </c>
      <c r="BB53" s="498">
        <f t="shared" si="71"/>
        <v>0</v>
      </c>
      <c r="BC53" s="498">
        <f t="shared" si="71"/>
        <v>0</v>
      </c>
      <c r="BD53" s="498">
        <f t="shared" si="71"/>
        <v>0</v>
      </c>
      <c r="BE53" s="498">
        <f t="shared" si="71"/>
        <v>0</v>
      </c>
      <c r="BF53" s="498">
        <f t="shared" si="71"/>
        <v>973.31</v>
      </c>
      <c r="BG53" s="498">
        <f t="shared" si="71"/>
        <v>0</v>
      </c>
      <c r="BH53" s="498">
        <f t="shared" si="71"/>
        <v>8314.31</v>
      </c>
      <c r="BI53" s="502">
        <f t="shared" si="71"/>
        <v>0</v>
      </c>
      <c r="BJ53" s="502">
        <f t="shared" si="71"/>
        <v>0</v>
      </c>
      <c r="BK53" s="498">
        <f t="shared" si="63"/>
        <v>110.86</v>
      </c>
      <c r="BL53" s="633">
        <f t="shared" si="71"/>
        <v>5544.75</v>
      </c>
      <c r="BM53" s="633">
        <f t="shared" si="71"/>
        <v>1676.25</v>
      </c>
      <c r="BN53" s="633">
        <f t="shared" si="71"/>
        <v>0</v>
      </c>
      <c r="BO53" s="633">
        <f t="shared" si="71"/>
        <v>973.31</v>
      </c>
      <c r="BP53" s="633">
        <f t="shared" si="71"/>
        <v>120</v>
      </c>
      <c r="BQ53" s="633">
        <f t="shared" si="71"/>
        <v>8314.31</v>
      </c>
    </row>
    <row r="54" spans="1:69" ht="15" hidden="1" customHeight="1" outlineLevel="1">
      <c r="A54" s="648" t="s">
        <v>194</v>
      </c>
      <c r="B54" s="648" t="s">
        <v>197</v>
      </c>
      <c r="C54" s="648" t="s">
        <v>189</v>
      </c>
      <c r="D54" s="9" t="s">
        <v>190</v>
      </c>
      <c r="E54" s="10">
        <v>0</v>
      </c>
      <c r="F54" s="671" t="s">
        <v>151</v>
      </c>
      <c r="G54" s="8" t="e">
        <f t="shared" ref="G54:G68" si="72">ROUND((V54+W54)/E54,3)</f>
        <v>#DIV/0!</v>
      </c>
      <c r="H54" s="8" t="e">
        <f t="shared" si="56"/>
        <v>#DIV/0!</v>
      </c>
      <c r="I54" s="8" t="e">
        <f t="shared" si="69"/>
        <v>#DIV/0!</v>
      </c>
      <c r="J54" s="8" t="e">
        <f t="shared" ref="J54:J60" si="73">ROUND(AL54/E54,3)</f>
        <v>#DIV/0!</v>
      </c>
      <c r="K54" s="8" t="e">
        <f t="shared" ref="K54:K60" si="74">ROUND((AM54+AN54+AO54+AP54+AQ54)/E54,2)</f>
        <v>#DIV/0!</v>
      </c>
      <c r="L54" s="8" t="e">
        <f t="shared" ref="L54:L60" si="75">ROUND((AS54+AT54+AU54+AV54+AW54)/E54,2)</f>
        <v>#DIV/0!</v>
      </c>
      <c r="M54" s="8" t="e">
        <f t="shared" ref="M54:M60" si="76">ROUND((AZ54+BA54)/E54,2)</f>
        <v>#DIV/0!</v>
      </c>
      <c r="N54" s="11" t="e">
        <f t="shared" si="52"/>
        <v>#DIV/0!</v>
      </c>
      <c r="O54" s="11" t="e">
        <f t="shared" si="45"/>
        <v>#DIV/0!</v>
      </c>
      <c r="P54" s="11" t="e">
        <f t="shared" ref="P54:P60" si="77">ROUND(BG54/E54,2)</f>
        <v>#DIV/0!</v>
      </c>
      <c r="Q54" s="8" t="e">
        <f t="shared" si="70"/>
        <v>#DIV/0!</v>
      </c>
      <c r="R54" s="8" t="e">
        <f t="shared" si="30"/>
        <v>#DIV/0!</v>
      </c>
      <c r="S54" s="8" t="e">
        <f t="shared" si="53"/>
        <v>#DIV/0!</v>
      </c>
      <c r="T54" s="39" t="e">
        <f t="shared" si="23"/>
        <v>#DIV/0!</v>
      </c>
      <c r="U54" s="671" t="s">
        <v>151</v>
      </c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705" t="s">
        <v>151</v>
      </c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>
        <f t="shared" ref="BH54:BH60" si="78">V54+W54+X54+Y54+Z54+AA54+AC54+AL54+AM54+AN54+AO54+AP54+AS54+AT54+AU54+AV54+AW54+AX54+AY54+AZ54+BA54+BB54+BC54+BD54+BE54+BF54+BG54+AQ54</f>
        <v>0</v>
      </c>
      <c r="BI54" s="15"/>
      <c r="BJ54" s="15"/>
      <c r="BK54" s="24" t="e">
        <f t="shared" si="63"/>
        <v>#DIV/0!</v>
      </c>
      <c r="BL54" s="76">
        <f t="shared" ref="BL54:BM59" si="79">V54+X54</f>
        <v>0</v>
      </c>
      <c r="BM54" s="76">
        <f t="shared" si="79"/>
        <v>0</v>
      </c>
      <c r="BN54" s="76">
        <f t="shared" ref="BN54:BN59" si="80">Z54+AA54+AC54</f>
        <v>0</v>
      </c>
      <c r="BO54" s="76">
        <f t="shared" ref="BO54:BO59" si="81">BF54</f>
        <v>0</v>
      </c>
      <c r="BP54" s="76">
        <f t="shared" ref="BP54:BP59" si="82">BG54+AL54+AM54+AN54+AO54+AP54+AQ54+AS54+AT54+AU54+AV54+AW54+AX54+AY54+AZ54+BA54+BB54+BC54+BD54</f>
        <v>0</v>
      </c>
      <c r="BQ54" s="92">
        <f t="shared" ref="BQ54:BQ59" si="83">BL54+BM54+BN54+BO54+BP54</f>
        <v>0</v>
      </c>
    </row>
    <row r="55" spans="1:69" ht="15" hidden="1" customHeight="1" outlineLevel="1">
      <c r="A55" s="789"/>
      <c r="B55" s="660"/>
      <c r="C55" s="660"/>
      <c r="D55" s="9" t="s">
        <v>191</v>
      </c>
      <c r="E55" s="10">
        <v>0</v>
      </c>
      <c r="F55" s="884"/>
      <c r="G55" s="8" t="e">
        <f t="shared" si="72"/>
        <v>#DIV/0!</v>
      </c>
      <c r="H55" s="8" t="e">
        <f t="shared" si="56"/>
        <v>#DIV/0!</v>
      </c>
      <c r="I55" s="8" t="e">
        <f t="shared" si="69"/>
        <v>#DIV/0!</v>
      </c>
      <c r="J55" s="8" t="e">
        <f t="shared" si="73"/>
        <v>#DIV/0!</v>
      </c>
      <c r="K55" s="8" t="e">
        <f t="shared" si="74"/>
        <v>#DIV/0!</v>
      </c>
      <c r="L55" s="8" t="e">
        <f t="shared" si="75"/>
        <v>#DIV/0!</v>
      </c>
      <c r="M55" s="8" t="e">
        <f t="shared" si="76"/>
        <v>#DIV/0!</v>
      </c>
      <c r="N55" s="11" t="e">
        <f t="shared" si="52"/>
        <v>#DIV/0!</v>
      </c>
      <c r="O55" s="11" t="e">
        <f t="shared" si="45"/>
        <v>#DIV/0!</v>
      </c>
      <c r="P55" s="11" t="e">
        <f t="shared" si="77"/>
        <v>#DIV/0!</v>
      </c>
      <c r="Q55" s="8" t="e">
        <f t="shared" si="70"/>
        <v>#DIV/0!</v>
      </c>
      <c r="R55" s="8" t="e">
        <f t="shared" si="30"/>
        <v>#DIV/0!</v>
      </c>
      <c r="S55" s="8" t="e">
        <f t="shared" si="53"/>
        <v>#DIV/0!</v>
      </c>
      <c r="T55" s="39" t="e">
        <f t="shared" si="23"/>
        <v>#DIV/0!</v>
      </c>
      <c r="U55" s="660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899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>
        <f t="shared" si="78"/>
        <v>0</v>
      </c>
      <c r="BI55" s="15"/>
      <c r="BJ55" s="15"/>
      <c r="BK55" s="24" t="e">
        <f t="shared" si="63"/>
        <v>#DIV/0!</v>
      </c>
      <c r="BL55" s="76">
        <f t="shared" si="79"/>
        <v>0</v>
      </c>
      <c r="BM55" s="76">
        <f t="shared" si="79"/>
        <v>0</v>
      </c>
      <c r="BN55" s="76">
        <f t="shared" si="80"/>
        <v>0</v>
      </c>
      <c r="BO55" s="76">
        <f t="shared" si="81"/>
        <v>0</v>
      </c>
      <c r="BP55" s="76">
        <f t="shared" si="82"/>
        <v>0</v>
      </c>
      <c r="BQ55" s="92">
        <f t="shared" si="83"/>
        <v>0</v>
      </c>
    </row>
    <row r="56" spans="1:69" ht="15" hidden="1" customHeight="1" outlineLevel="1">
      <c r="A56" s="789"/>
      <c r="B56" s="660"/>
      <c r="C56" s="660"/>
      <c r="D56" s="9" t="s">
        <v>192</v>
      </c>
      <c r="E56" s="10">
        <v>0</v>
      </c>
      <c r="F56" s="884"/>
      <c r="G56" s="8" t="e">
        <f t="shared" si="72"/>
        <v>#DIV/0!</v>
      </c>
      <c r="H56" s="8" t="e">
        <f t="shared" si="56"/>
        <v>#DIV/0!</v>
      </c>
      <c r="I56" s="8" t="e">
        <f t="shared" si="69"/>
        <v>#DIV/0!</v>
      </c>
      <c r="J56" s="8" t="e">
        <f t="shared" si="73"/>
        <v>#DIV/0!</v>
      </c>
      <c r="K56" s="8" t="e">
        <f t="shared" si="74"/>
        <v>#DIV/0!</v>
      </c>
      <c r="L56" s="8" t="e">
        <f t="shared" si="75"/>
        <v>#DIV/0!</v>
      </c>
      <c r="M56" s="8" t="e">
        <f t="shared" si="76"/>
        <v>#DIV/0!</v>
      </c>
      <c r="N56" s="11" t="e">
        <f t="shared" si="52"/>
        <v>#DIV/0!</v>
      </c>
      <c r="O56" s="11" t="e">
        <f t="shared" si="45"/>
        <v>#DIV/0!</v>
      </c>
      <c r="P56" s="11" t="e">
        <f t="shared" si="77"/>
        <v>#DIV/0!</v>
      </c>
      <c r="Q56" s="8" t="e">
        <f t="shared" si="70"/>
        <v>#DIV/0!</v>
      </c>
      <c r="R56" s="8" t="e">
        <f t="shared" si="30"/>
        <v>#DIV/0!</v>
      </c>
      <c r="S56" s="8" t="e">
        <f t="shared" si="53"/>
        <v>#DIV/0!</v>
      </c>
      <c r="T56" s="39" t="e">
        <f t="shared" si="23"/>
        <v>#DIV/0!</v>
      </c>
      <c r="U56" s="660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899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>
        <f t="shared" si="78"/>
        <v>0</v>
      </c>
      <c r="BI56" s="15"/>
      <c r="BJ56" s="15"/>
      <c r="BK56" s="24" t="e">
        <f t="shared" si="63"/>
        <v>#DIV/0!</v>
      </c>
      <c r="BL56" s="76">
        <f t="shared" si="79"/>
        <v>0</v>
      </c>
      <c r="BM56" s="76">
        <f t="shared" si="79"/>
        <v>0</v>
      </c>
      <c r="BN56" s="76">
        <f t="shared" si="80"/>
        <v>0</v>
      </c>
      <c r="BO56" s="76">
        <f t="shared" si="81"/>
        <v>0</v>
      </c>
      <c r="BP56" s="76">
        <f t="shared" si="82"/>
        <v>0</v>
      </c>
      <c r="BQ56" s="92">
        <f t="shared" si="83"/>
        <v>0</v>
      </c>
    </row>
    <row r="57" spans="1:69" ht="15" hidden="1" customHeight="1" outlineLevel="1">
      <c r="A57" s="789"/>
      <c r="B57" s="660"/>
      <c r="C57" s="660"/>
      <c r="D57" s="9" t="s">
        <v>193</v>
      </c>
      <c r="E57" s="10">
        <v>0</v>
      </c>
      <c r="F57" s="884"/>
      <c r="G57" s="8" t="e">
        <f t="shared" si="72"/>
        <v>#DIV/0!</v>
      </c>
      <c r="H57" s="8" t="e">
        <f t="shared" si="56"/>
        <v>#DIV/0!</v>
      </c>
      <c r="I57" s="8" t="e">
        <f t="shared" si="69"/>
        <v>#DIV/0!</v>
      </c>
      <c r="J57" s="8" t="e">
        <f t="shared" si="73"/>
        <v>#DIV/0!</v>
      </c>
      <c r="K57" s="8" t="e">
        <f t="shared" si="74"/>
        <v>#DIV/0!</v>
      </c>
      <c r="L57" s="8" t="e">
        <f t="shared" si="75"/>
        <v>#DIV/0!</v>
      </c>
      <c r="M57" s="8" t="e">
        <f t="shared" si="76"/>
        <v>#DIV/0!</v>
      </c>
      <c r="N57" s="11" t="e">
        <f t="shared" si="52"/>
        <v>#DIV/0!</v>
      </c>
      <c r="O57" s="11" t="e">
        <f t="shared" si="45"/>
        <v>#DIV/0!</v>
      </c>
      <c r="P57" s="11" t="e">
        <f t="shared" si="77"/>
        <v>#DIV/0!</v>
      </c>
      <c r="Q57" s="8" t="e">
        <f t="shared" si="70"/>
        <v>#DIV/0!</v>
      </c>
      <c r="R57" s="8" t="e">
        <f t="shared" si="30"/>
        <v>#DIV/0!</v>
      </c>
      <c r="S57" s="8" t="e">
        <f t="shared" si="53"/>
        <v>#DIV/0!</v>
      </c>
      <c r="T57" s="39" t="e">
        <f t="shared" si="23"/>
        <v>#DIV/0!</v>
      </c>
      <c r="U57" s="660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899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>
        <f t="shared" si="78"/>
        <v>0</v>
      </c>
      <c r="BI57" s="15"/>
      <c r="BJ57" s="15"/>
      <c r="BK57" s="24" t="e">
        <f t="shared" si="63"/>
        <v>#DIV/0!</v>
      </c>
      <c r="BL57" s="76">
        <f t="shared" si="79"/>
        <v>0</v>
      </c>
      <c r="BM57" s="76">
        <f t="shared" si="79"/>
        <v>0</v>
      </c>
      <c r="BN57" s="76">
        <f t="shared" si="80"/>
        <v>0</v>
      </c>
      <c r="BO57" s="76">
        <f t="shared" si="81"/>
        <v>0</v>
      </c>
      <c r="BP57" s="76">
        <f t="shared" si="82"/>
        <v>0</v>
      </c>
      <c r="BQ57" s="92">
        <f t="shared" si="83"/>
        <v>0</v>
      </c>
    </row>
    <row r="58" spans="1:69" ht="57.75" customHeight="1" collapsed="1">
      <c r="A58" s="649"/>
      <c r="B58" s="9" t="s">
        <v>198</v>
      </c>
      <c r="C58" s="9" t="s">
        <v>196</v>
      </c>
      <c r="D58" s="9"/>
      <c r="E58" s="313">
        <v>2857</v>
      </c>
      <c r="F58" s="884"/>
      <c r="G58" s="8">
        <f t="shared" si="72"/>
        <v>900.94200000000001</v>
      </c>
      <c r="H58" s="8">
        <f t="shared" si="56"/>
        <v>0</v>
      </c>
      <c r="I58" s="8">
        <f t="shared" si="69"/>
        <v>900.94200000000001</v>
      </c>
      <c r="J58" s="8">
        <f t="shared" si="73"/>
        <v>2.4750000000000001</v>
      </c>
      <c r="K58" s="8">
        <f t="shared" si="74"/>
        <v>0</v>
      </c>
      <c r="L58" s="8">
        <f t="shared" si="75"/>
        <v>0</v>
      </c>
      <c r="M58" s="8">
        <f t="shared" si="76"/>
        <v>0</v>
      </c>
      <c r="N58" s="11">
        <f t="shared" si="52"/>
        <v>0</v>
      </c>
      <c r="O58" s="11">
        <f>ROUND(BF58/E58,3)</f>
        <v>17.431999999999999</v>
      </c>
      <c r="P58" s="11">
        <f t="shared" si="77"/>
        <v>0</v>
      </c>
      <c r="Q58" s="8">
        <f t="shared" si="70"/>
        <v>920.84900000000005</v>
      </c>
      <c r="R58" s="8">
        <f t="shared" si="30"/>
        <v>0</v>
      </c>
      <c r="S58" s="8">
        <f t="shared" si="53"/>
        <v>0</v>
      </c>
      <c r="T58" s="39">
        <f t="shared" si="23"/>
        <v>920.84900000000005</v>
      </c>
      <c r="U58" s="660"/>
      <c r="V58" s="15">
        <f>1149303+827649</f>
        <v>1976952</v>
      </c>
      <c r="W58" s="15">
        <f>ROUND(V58*0.302,0)</f>
        <v>597040</v>
      </c>
      <c r="X58" s="15"/>
      <c r="Y58" s="15"/>
      <c r="Z58" s="15"/>
      <c r="AA58" s="15"/>
      <c r="AB58" s="15"/>
      <c r="AC58" s="15"/>
      <c r="AD58" s="15">
        <v>1119</v>
      </c>
      <c r="AE58" s="15"/>
      <c r="AF58" s="15"/>
      <c r="AG58" s="15"/>
      <c r="AH58" s="15"/>
      <c r="AI58" s="15"/>
      <c r="AJ58" s="15"/>
      <c r="AK58" s="15">
        <v>5952</v>
      </c>
      <c r="AL58" s="15">
        <f>SUM(AD58:AK58)</f>
        <v>7071</v>
      </c>
      <c r="AM58" s="15"/>
      <c r="AN58" s="15"/>
      <c r="AO58" s="15"/>
      <c r="AP58" s="15"/>
      <c r="AQ58" s="15"/>
      <c r="AR58" s="899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>
        <v>49804</v>
      </c>
      <c r="BG58" s="15"/>
      <c r="BH58" s="15">
        <f t="shared" si="78"/>
        <v>2630867</v>
      </c>
      <c r="BI58" s="15"/>
      <c r="BJ58" s="15"/>
      <c r="BK58" s="24">
        <f t="shared" si="63"/>
        <v>920.85</v>
      </c>
      <c r="BL58" s="76">
        <f t="shared" si="79"/>
        <v>1976952</v>
      </c>
      <c r="BM58" s="76">
        <f t="shared" si="79"/>
        <v>597040</v>
      </c>
      <c r="BN58" s="76">
        <f t="shared" si="80"/>
        <v>0</v>
      </c>
      <c r="BO58" s="76">
        <f t="shared" si="81"/>
        <v>49804</v>
      </c>
      <c r="BP58" s="211">
        <f t="shared" si="82"/>
        <v>7071</v>
      </c>
      <c r="BQ58" s="92">
        <f t="shared" si="83"/>
        <v>2630867</v>
      </c>
    </row>
    <row r="59" spans="1:69" ht="62.25" customHeight="1">
      <c r="A59" s="364" t="s">
        <v>359</v>
      </c>
      <c r="B59" s="13"/>
      <c r="C59" s="13" t="s">
        <v>196</v>
      </c>
      <c r="D59" s="13"/>
      <c r="E59" s="10">
        <v>2933</v>
      </c>
      <c r="F59" s="884"/>
      <c r="G59" s="8">
        <f t="shared" si="72"/>
        <v>898.53099999999995</v>
      </c>
      <c r="H59" s="8">
        <f t="shared" si="56"/>
        <v>0</v>
      </c>
      <c r="I59" s="8">
        <f t="shared" si="69"/>
        <v>898.53099999999995</v>
      </c>
      <c r="J59" s="8">
        <f t="shared" si="73"/>
        <v>2.411</v>
      </c>
      <c r="K59" s="8">
        <f t="shared" si="74"/>
        <v>0</v>
      </c>
      <c r="L59" s="8">
        <f t="shared" si="75"/>
        <v>0</v>
      </c>
      <c r="M59" s="8">
        <f t="shared" si="76"/>
        <v>0</v>
      </c>
      <c r="N59" s="11">
        <f t="shared" si="52"/>
        <v>0</v>
      </c>
      <c r="O59" s="11">
        <f>ROUND(BF59/E59,3)</f>
        <v>16.981000000000002</v>
      </c>
      <c r="P59" s="11">
        <f t="shared" si="77"/>
        <v>0</v>
      </c>
      <c r="Q59" s="8">
        <f t="shared" si="70"/>
        <v>917.923</v>
      </c>
      <c r="R59" s="8">
        <f t="shared" si="30"/>
        <v>0</v>
      </c>
      <c r="S59" s="8">
        <f t="shared" si="53"/>
        <v>0</v>
      </c>
      <c r="T59" s="39">
        <f t="shared" si="23"/>
        <v>917.923</v>
      </c>
      <c r="U59" s="660"/>
      <c r="V59" s="15">
        <v>2024121.34</v>
      </c>
      <c r="W59" s="15">
        <f>1208310.29-W58</f>
        <v>611270.29</v>
      </c>
      <c r="X59" s="15"/>
      <c r="Y59" s="15"/>
      <c r="Z59" s="15"/>
      <c r="AA59" s="15"/>
      <c r="AB59" s="15"/>
      <c r="AC59" s="15"/>
      <c r="AD59" s="15">
        <v>1119</v>
      </c>
      <c r="AE59" s="15"/>
      <c r="AF59" s="15"/>
      <c r="AG59" s="15"/>
      <c r="AH59" s="15"/>
      <c r="AI59" s="15"/>
      <c r="AJ59" s="15"/>
      <c r="AK59" s="15">
        <v>5952</v>
      </c>
      <c r="AL59" s="15">
        <f>SUM(AD59:AK59)</f>
        <v>7071</v>
      </c>
      <c r="AM59" s="15"/>
      <c r="AN59" s="15"/>
      <c r="AO59" s="15"/>
      <c r="AP59" s="15"/>
      <c r="AQ59" s="15"/>
      <c r="AR59" s="899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>
        <v>49804</v>
      </c>
      <c r="BG59" s="15"/>
      <c r="BH59" s="15">
        <f t="shared" si="78"/>
        <v>2692266.63</v>
      </c>
      <c r="BI59" s="15"/>
      <c r="BJ59" s="15"/>
      <c r="BK59" s="24">
        <f t="shared" si="63"/>
        <v>917.92</v>
      </c>
      <c r="BL59" s="76">
        <f t="shared" si="79"/>
        <v>2024121.34</v>
      </c>
      <c r="BM59" s="76">
        <f t="shared" si="79"/>
        <v>611270.29</v>
      </c>
      <c r="BN59" s="76">
        <f t="shared" si="80"/>
        <v>0</v>
      </c>
      <c r="BO59" s="76">
        <f t="shared" si="81"/>
        <v>49804</v>
      </c>
      <c r="BP59" s="211">
        <f t="shared" si="82"/>
        <v>7071</v>
      </c>
      <c r="BQ59" s="92">
        <f t="shared" si="83"/>
        <v>2692266.63</v>
      </c>
    </row>
    <row r="60" spans="1:69" ht="56.25" hidden="1" customHeight="1">
      <c r="A60" s="364" t="s">
        <v>391</v>
      </c>
      <c r="B60" s="13"/>
      <c r="C60" s="13" t="s">
        <v>392</v>
      </c>
      <c r="D60" s="13"/>
      <c r="E60" s="25"/>
      <c r="F60" s="885"/>
      <c r="G60" s="15" t="e">
        <f t="shared" si="72"/>
        <v>#DIV/0!</v>
      </c>
      <c r="H60" s="15" t="e">
        <f t="shared" si="56"/>
        <v>#DIV/0!</v>
      </c>
      <c r="I60" s="15" t="e">
        <f>G60+H60</f>
        <v>#DIV/0!</v>
      </c>
      <c r="J60" s="15" t="e">
        <f t="shared" si="73"/>
        <v>#DIV/0!</v>
      </c>
      <c r="K60" s="15" t="e">
        <f t="shared" si="74"/>
        <v>#DIV/0!</v>
      </c>
      <c r="L60" s="15" t="e">
        <f t="shared" si="75"/>
        <v>#DIV/0!</v>
      </c>
      <c r="M60" s="15" t="e">
        <f t="shared" si="76"/>
        <v>#DIV/0!</v>
      </c>
      <c r="N60" s="37" t="e">
        <f t="shared" si="52"/>
        <v>#DIV/0!</v>
      </c>
      <c r="O60" s="37" t="e">
        <f t="shared" si="45"/>
        <v>#DIV/0!</v>
      </c>
      <c r="P60" s="37" t="e">
        <f t="shared" si="77"/>
        <v>#DIV/0!</v>
      </c>
      <c r="Q60" s="15" t="e">
        <f>P60+O60+N60+M60+L60+K60+J60+I60</f>
        <v>#DIV/0!</v>
      </c>
      <c r="R60" s="15" t="e">
        <f t="shared" si="30"/>
        <v>#DIV/0!</v>
      </c>
      <c r="S60" s="15" t="e">
        <f t="shared" si="53"/>
        <v>#DIV/0!</v>
      </c>
      <c r="T60" s="50" t="e">
        <f>Q60+R60+S60</f>
        <v>#DIV/0!</v>
      </c>
      <c r="U60" s="649"/>
      <c r="V60" s="15"/>
      <c r="W60" s="15"/>
      <c r="X60" s="15"/>
      <c r="Y60" s="15"/>
      <c r="Z60" s="15"/>
      <c r="AA60" s="15"/>
      <c r="AB60" s="15"/>
      <c r="AC60" s="15"/>
      <c r="AD60" s="15">
        <v>0</v>
      </c>
      <c r="AE60" s="15"/>
      <c r="AF60" s="15"/>
      <c r="AG60" s="15"/>
      <c r="AH60" s="15"/>
      <c r="AI60" s="15"/>
      <c r="AJ60" s="15"/>
      <c r="AK60" s="15"/>
      <c r="AL60" s="15">
        <f>SUM(AD60:AK60)</f>
        <v>0</v>
      </c>
      <c r="AM60" s="15"/>
      <c r="AN60" s="15"/>
      <c r="AO60" s="15"/>
      <c r="AP60" s="15"/>
      <c r="AQ60" s="15"/>
      <c r="AR60" s="649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>
        <v>0</v>
      </c>
      <c r="BG60" s="15"/>
      <c r="BH60" s="15">
        <f t="shared" si="78"/>
        <v>0</v>
      </c>
      <c r="BI60" s="15"/>
      <c r="BJ60" s="15"/>
      <c r="BK60" s="24" t="e">
        <f t="shared" si="63"/>
        <v>#DIV/0!</v>
      </c>
      <c r="BL60" s="76">
        <f>V60+X60</f>
        <v>0</v>
      </c>
      <c r="BM60" s="76">
        <f>W60+Y60</f>
        <v>0</v>
      </c>
      <c r="BN60" s="76">
        <f>Z60+AA60+AC60</f>
        <v>0</v>
      </c>
      <c r="BO60" s="76">
        <f>BF60</f>
        <v>0</v>
      </c>
      <c r="BP60" s="211">
        <f>BG60+AL60+AM60+AN60+AO60+AP60+AQ60+AS60+AT60+AU60+AV60+AW60+AX60+AY60+AZ60+BA60+BB60+BC60+BD60</f>
        <v>0</v>
      </c>
      <c r="BQ60" s="92">
        <f>BL60+BM60+BN60+BO60+BP60</f>
        <v>0</v>
      </c>
    </row>
    <row r="61" spans="1:69" ht="28.5">
      <c r="A61" s="493" t="s">
        <v>259</v>
      </c>
      <c r="B61" s="493"/>
      <c r="C61" s="493" t="s">
        <v>252</v>
      </c>
      <c r="D61" s="494"/>
      <c r="E61" s="495">
        <f>E58+E59</f>
        <v>5790</v>
      </c>
      <c r="F61" s="496"/>
      <c r="G61" s="489">
        <f t="shared" si="72"/>
        <v>899.721</v>
      </c>
      <c r="H61" s="489">
        <f t="shared" si="56"/>
        <v>0</v>
      </c>
      <c r="I61" s="489">
        <f t="shared" ref="I61:I68" si="84">G61+H61</f>
        <v>899.721</v>
      </c>
      <c r="J61" s="490">
        <f>ROUND((AL61-AK61)/E61,3)</f>
        <v>0.38700000000000001</v>
      </c>
      <c r="K61" s="489">
        <f>ROUND((AM61+AN61+AO61+AP61+AQ61)/E61,3)</f>
        <v>0</v>
      </c>
      <c r="L61" s="489">
        <f>ROUND((AS61+AT61+AU61+AV61+AW61)/E61,3)</f>
        <v>0</v>
      </c>
      <c r="M61" s="489">
        <f>ROUND((AZ61+BA61)/E61,3)</f>
        <v>0</v>
      </c>
      <c r="N61" s="491">
        <f t="shared" si="52"/>
        <v>0</v>
      </c>
      <c r="O61" s="491">
        <f>ROUND(BF61/E61,3)</f>
        <v>17.202999999999999</v>
      </c>
      <c r="P61" s="492">
        <f>ROUND(AK61/E61,3)</f>
        <v>2.056</v>
      </c>
      <c r="Q61" s="489">
        <f t="shared" ref="Q61:Q68" si="85">P61+O61+N61+M61+L61+K61+J61+I61</f>
        <v>919.36699999999996</v>
      </c>
      <c r="R61" s="489">
        <f t="shared" si="30"/>
        <v>0</v>
      </c>
      <c r="S61" s="489">
        <f t="shared" si="53"/>
        <v>0</v>
      </c>
      <c r="T61" s="489">
        <f t="shared" si="23"/>
        <v>919.36699999999996</v>
      </c>
      <c r="U61" s="497"/>
      <c r="V61" s="498">
        <f t="shared" ref="V61:V66" si="86">V58+V59+V60</f>
        <v>4001073.34</v>
      </c>
      <c r="W61" s="498">
        <f t="shared" ref="W61:BJ61" si="87">W58+W59+W60</f>
        <v>1208310.29</v>
      </c>
      <c r="X61" s="498">
        <f t="shared" si="87"/>
        <v>0</v>
      </c>
      <c r="Y61" s="498">
        <f t="shared" si="87"/>
        <v>0</v>
      </c>
      <c r="Z61" s="498">
        <f t="shared" si="87"/>
        <v>0</v>
      </c>
      <c r="AA61" s="498">
        <f t="shared" si="87"/>
        <v>0</v>
      </c>
      <c r="AB61" s="498">
        <f t="shared" si="87"/>
        <v>0</v>
      </c>
      <c r="AC61" s="498">
        <f t="shared" si="87"/>
        <v>0</v>
      </c>
      <c r="AD61" s="498">
        <f t="shared" si="87"/>
        <v>2238</v>
      </c>
      <c r="AE61" s="498">
        <f t="shared" si="87"/>
        <v>0</v>
      </c>
      <c r="AF61" s="498">
        <f t="shared" si="87"/>
        <v>0</v>
      </c>
      <c r="AG61" s="498">
        <f t="shared" si="87"/>
        <v>0</v>
      </c>
      <c r="AH61" s="498">
        <f t="shared" si="87"/>
        <v>0</v>
      </c>
      <c r="AI61" s="498">
        <f t="shared" si="87"/>
        <v>0</v>
      </c>
      <c r="AJ61" s="498">
        <f t="shared" si="87"/>
        <v>0</v>
      </c>
      <c r="AK61" s="498">
        <f t="shared" si="87"/>
        <v>11904</v>
      </c>
      <c r="AL61" s="498">
        <f t="shared" si="87"/>
        <v>14142</v>
      </c>
      <c r="AM61" s="498">
        <f t="shared" si="87"/>
        <v>0</v>
      </c>
      <c r="AN61" s="498">
        <f t="shared" si="87"/>
        <v>0</v>
      </c>
      <c r="AO61" s="498">
        <f t="shared" si="87"/>
        <v>0</v>
      </c>
      <c r="AP61" s="498">
        <f t="shared" si="87"/>
        <v>0</v>
      </c>
      <c r="AQ61" s="498">
        <f t="shared" si="87"/>
        <v>0</v>
      </c>
      <c r="AR61" s="498">
        <f t="shared" si="87"/>
        <v>0</v>
      </c>
      <c r="AS61" s="498">
        <f t="shared" si="87"/>
        <v>0</v>
      </c>
      <c r="AT61" s="498">
        <f t="shared" si="87"/>
        <v>0</v>
      </c>
      <c r="AU61" s="498">
        <f t="shared" si="87"/>
        <v>0</v>
      </c>
      <c r="AV61" s="498">
        <f t="shared" si="87"/>
        <v>0</v>
      </c>
      <c r="AW61" s="498">
        <f t="shared" si="87"/>
        <v>0</v>
      </c>
      <c r="AX61" s="498">
        <f t="shared" si="87"/>
        <v>0</v>
      </c>
      <c r="AY61" s="498">
        <f t="shared" si="87"/>
        <v>0</v>
      </c>
      <c r="AZ61" s="498">
        <f t="shared" si="87"/>
        <v>0</v>
      </c>
      <c r="BA61" s="498">
        <f t="shared" si="87"/>
        <v>0</v>
      </c>
      <c r="BB61" s="498">
        <f t="shared" si="87"/>
        <v>0</v>
      </c>
      <c r="BC61" s="498">
        <f t="shared" si="87"/>
        <v>0</v>
      </c>
      <c r="BD61" s="498">
        <f t="shared" si="87"/>
        <v>0</v>
      </c>
      <c r="BE61" s="498">
        <f t="shared" si="87"/>
        <v>0</v>
      </c>
      <c r="BF61" s="498">
        <f t="shared" si="87"/>
        <v>99608</v>
      </c>
      <c r="BG61" s="498">
        <f t="shared" si="87"/>
        <v>0</v>
      </c>
      <c r="BH61" s="498">
        <f t="shared" si="87"/>
        <v>5323133.63</v>
      </c>
      <c r="BI61" s="498">
        <f t="shared" si="87"/>
        <v>0</v>
      </c>
      <c r="BJ61" s="498">
        <f t="shared" si="87"/>
        <v>0</v>
      </c>
      <c r="BK61" s="498">
        <f>ROUND(BH61/E61,3)</f>
        <v>919.36699999999996</v>
      </c>
      <c r="BL61" s="633">
        <f t="shared" ref="BL61:BQ61" si="88">BL58+BL59+BL60</f>
        <v>4001073.34</v>
      </c>
      <c r="BM61" s="633">
        <f t="shared" si="88"/>
        <v>1208310.29</v>
      </c>
      <c r="BN61" s="633">
        <f t="shared" si="88"/>
        <v>0</v>
      </c>
      <c r="BO61" s="633">
        <f t="shared" si="88"/>
        <v>99608</v>
      </c>
      <c r="BP61" s="633">
        <f t="shared" si="88"/>
        <v>14142</v>
      </c>
      <c r="BQ61" s="633">
        <f t="shared" si="88"/>
        <v>5323133.63</v>
      </c>
    </row>
    <row r="62" spans="1:69" ht="15" hidden="1" customHeight="1" outlineLevel="1">
      <c r="A62" s="648" t="s">
        <v>194</v>
      </c>
      <c r="B62" s="648" t="s">
        <v>197</v>
      </c>
      <c r="C62" s="648" t="s">
        <v>189</v>
      </c>
      <c r="D62" s="9" t="s">
        <v>190</v>
      </c>
      <c r="E62" s="10">
        <v>0</v>
      </c>
      <c r="F62" s="671" t="s">
        <v>151</v>
      </c>
      <c r="G62" s="8" t="e">
        <f t="shared" si="72"/>
        <v>#DIV/0!</v>
      </c>
      <c r="H62" s="8" t="e">
        <f t="shared" si="56"/>
        <v>#DIV/0!</v>
      </c>
      <c r="I62" s="8" t="e">
        <f t="shared" si="84"/>
        <v>#DIV/0!</v>
      </c>
      <c r="J62" s="8" t="e">
        <f>ROUND(AL62/E62,3)</f>
        <v>#DIV/0!</v>
      </c>
      <c r="K62" s="8" t="e">
        <f>ROUND((AM62+AN62+AO62+AP62+AQ62)/E62,2)</f>
        <v>#DIV/0!</v>
      </c>
      <c r="L62" s="8" t="e">
        <f>ROUND((AS62+AT62+AU62+AV62+AW62)/E62,2)</f>
        <v>#DIV/0!</v>
      </c>
      <c r="M62" s="8" t="e">
        <f>ROUND((AZ62+BA62)/E62,2)</f>
        <v>#DIV/0!</v>
      </c>
      <c r="N62" s="11" t="e">
        <f t="shared" si="52"/>
        <v>#DIV/0!</v>
      </c>
      <c r="O62" s="11" t="e">
        <f t="shared" si="45"/>
        <v>#DIV/0!</v>
      </c>
      <c r="P62" s="11" t="e">
        <f>ROUND(BG62/E62,2)</f>
        <v>#DIV/0!</v>
      </c>
      <c r="Q62" s="8" t="e">
        <f t="shared" si="85"/>
        <v>#DIV/0!</v>
      </c>
      <c r="R62" s="8" t="e">
        <f t="shared" si="30"/>
        <v>#DIV/0!</v>
      </c>
      <c r="S62" s="8" t="e">
        <f t="shared" si="53"/>
        <v>#DIV/0!</v>
      </c>
      <c r="T62" s="39" t="e">
        <f t="shared" si="23"/>
        <v>#DIV/0!</v>
      </c>
      <c r="U62" s="671" t="s">
        <v>151</v>
      </c>
      <c r="V62" s="498">
        <f t="shared" si="86"/>
        <v>6025194.6799999997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705" t="s">
        <v>151</v>
      </c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>
        <f t="shared" ref="BH62:BH68" si="89">V62+W62+X62+Y62+Z62+AA62+AC62+AL62+AM62+AN62+AO62+AP62+AS62+AT62+AU62+AV62+AW62+AX62+AY62+AZ62+BA62+BB62+BC62+BD62+BE62+BF62+BG62+AQ62</f>
        <v>6025194.6799999997</v>
      </c>
      <c r="BI62" s="15"/>
      <c r="BJ62" s="15"/>
      <c r="BK62" s="24" t="e">
        <f t="shared" ref="BK62:BK69" si="90">ROUND(BH62/E62,2)</f>
        <v>#DIV/0!</v>
      </c>
      <c r="BL62" s="76">
        <f t="shared" ref="BL62:BM68" si="91">V62+X62</f>
        <v>6025194.6799999997</v>
      </c>
      <c r="BM62" s="76">
        <f t="shared" si="91"/>
        <v>0</v>
      </c>
      <c r="BN62" s="76">
        <f t="shared" ref="BN62:BN68" si="92">Z62+AA62+AC62</f>
        <v>0</v>
      </c>
      <c r="BO62" s="76">
        <f t="shared" ref="BO62:BO68" si="93">BF62</f>
        <v>0</v>
      </c>
      <c r="BP62" s="76">
        <f t="shared" ref="BP62:BP68" si="94">BG62+AL62+AM62+AN62+AO62+AP62+AQ62+AS62+AT62+AU62+AV62+AW62+AX62+AY62+AZ62+BA62+BB62+BC62+BD62</f>
        <v>0</v>
      </c>
      <c r="BQ62" s="92">
        <f t="shared" ref="BQ62:BQ68" si="95">BL62+BM62+BN62+BO62+BP62</f>
        <v>6025194.6799999997</v>
      </c>
    </row>
    <row r="63" spans="1:69" ht="15" hidden="1" customHeight="1" outlineLevel="1">
      <c r="A63" s="789"/>
      <c r="B63" s="660"/>
      <c r="C63" s="660"/>
      <c r="D63" s="9" t="s">
        <v>191</v>
      </c>
      <c r="E63" s="10">
        <v>0</v>
      </c>
      <c r="F63" s="884"/>
      <c r="G63" s="8" t="e">
        <f t="shared" si="72"/>
        <v>#DIV/0!</v>
      </c>
      <c r="H63" s="8" t="e">
        <f t="shared" si="56"/>
        <v>#DIV/0!</v>
      </c>
      <c r="I63" s="8" t="e">
        <f t="shared" si="84"/>
        <v>#DIV/0!</v>
      </c>
      <c r="J63" s="8" t="e">
        <f>ROUND(AL63/E63,3)</f>
        <v>#DIV/0!</v>
      </c>
      <c r="K63" s="8" t="e">
        <f>ROUND((AM63+AN63+AO63+AP63+AQ63)/E63,2)</f>
        <v>#DIV/0!</v>
      </c>
      <c r="L63" s="8" t="e">
        <f>ROUND((AS63+AT63+AU63+AV63+AW63)/E63,2)</f>
        <v>#DIV/0!</v>
      </c>
      <c r="M63" s="8" t="e">
        <f>ROUND((AZ63+BA63)/E63,2)</f>
        <v>#DIV/0!</v>
      </c>
      <c r="N63" s="11" t="e">
        <f t="shared" si="52"/>
        <v>#DIV/0!</v>
      </c>
      <c r="O63" s="11" t="e">
        <f t="shared" si="45"/>
        <v>#DIV/0!</v>
      </c>
      <c r="P63" s="11" t="e">
        <f>ROUND(BG63/E63,2)</f>
        <v>#DIV/0!</v>
      </c>
      <c r="Q63" s="8" t="e">
        <f t="shared" si="85"/>
        <v>#DIV/0!</v>
      </c>
      <c r="R63" s="8" t="e">
        <f t="shared" si="30"/>
        <v>#DIV/0!</v>
      </c>
      <c r="S63" s="8" t="e">
        <f t="shared" si="53"/>
        <v>#DIV/0!</v>
      </c>
      <c r="T63" s="39" t="e">
        <f t="shared" si="23"/>
        <v>#DIV/0!</v>
      </c>
      <c r="U63" s="660"/>
      <c r="V63" s="498">
        <f t="shared" si="86"/>
        <v>10026268.02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660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>
        <f t="shared" si="89"/>
        <v>10026268.02</v>
      </c>
      <c r="BI63" s="15"/>
      <c r="BJ63" s="15"/>
      <c r="BK63" s="24" t="e">
        <f t="shared" si="90"/>
        <v>#DIV/0!</v>
      </c>
      <c r="BL63" s="76">
        <f t="shared" si="91"/>
        <v>10026268.02</v>
      </c>
      <c r="BM63" s="76">
        <f t="shared" si="91"/>
        <v>0</v>
      </c>
      <c r="BN63" s="76">
        <f t="shared" si="92"/>
        <v>0</v>
      </c>
      <c r="BO63" s="76">
        <f t="shared" si="93"/>
        <v>0</v>
      </c>
      <c r="BP63" s="76">
        <f t="shared" si="94"/>
        <v>0</v>
      </c>
      <c r="BQ63" s="92">
        <f t="shared" si="95"/>
        <v>10026268.02</v>
      </c>
    </row>
    <row r="64" spans="1:69" ht="15" hidden="1" customHeight="1" outlineLevel="1">
      <c r="A64" s="789"/>
      <c r="B64" s="660"/>
      <c r="C64" s="660"/>
      <c r="D64" s="9" t="s">
        <v>192</v>
      </c>
      <c r="E64" s="10">
        <v>0</v>
      </c>
      <c r="F64" s="884"/>
      <c r="G64" s="8" t="e">
        <f t="shared" si="72"/>
        <v>#DIV/0!</v>
      </c>
      <c r="H64" s="8" t="e">
        <f t="shared" si="56"/>
        <v>#DIV/0!</v>
      </c>
      <c r="I64" s="8" t="e">
        <f t="shared" si="84"/>
        <v>#DIV/0!</v>
      </c>
      <c r="J64" s="8" t="e">
        <f>ROUND(AL64/E64,3)</f>
        <v>#DIV/0!</v>
      </c>
      <c r="K64" s="8" t="e">
        <f>ROUND((AM64+AN64+AO64+AP64+AQ64)/E64,2)</f>
        <v>#DIV/0!</v>
      </c>
      <c r="L64" s="8" t="e">
        <f>ROUND((AS64+AT64+AU64+AV64+AW64)/E64,2)</f>
        <v>#DIV/0!</v>
      </c>
      <c r="M64" s="8" t="e">
        <f>ROUND((AZ64+BA64)/E64,2)</f>
        <v>#DIV/0!</v>
      </c>
      <c r="N64" s="11" t="e">
        <f t="shared" si="52"/>
        <v>#DIV/0!</v>
      </c>
      <c r="O64" s="11" t="e">
        <f t="shared" si="45"/>
        <v>#DIV/0!</v>
      </c>
      <c r="P64" s="11" t="e">
        <f>ROUND(BG64/E64,2)</f>
        <v>#DIV/0!</v>
      </c>
      <c r="Q64" s="8" t="e">
        <f t="shared" si="85"/>
        <v>#DIV/0!</v>
      </c>
      <c r="R64" s="8" t="e">
        <f t="shared" si="30"/>
        <v>#DIV/0!</v>
      </c>
      <c r="S64" s="8" t="e">
        <f t="shared" si="53"/>
        <v>#DIV/0!</v>
      </c>
      <c r="T64" s="39" t="e">
        <f t="shared" si="23"/>
        <v>#DIV/0!</v>
      </c>
      <c r="U64" s="660"/>
      <c r="V64" s="498">
        <f t="shared" si="86"/>
        <v>20052536.039999999</v>
      </c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660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>
        <f t="shared" si="89"/>
        <v>20052536.039999999</v>
      </c>
      <c r="BI64" s="15"/>
      <c r="BJ64" s="15"/>
      <c r="BK64" s="24" t="e">
        <f t="shared" si="90"/>
        <v>#DIV/0!</v>
      </c>
      <c r="BL64" s="76">
        <f t="shared" si="91"/>
        <v>20052536.039999999</v>
      </c>
      <c r="BM64" s="76">
        <f t="shared" si="91"/>
        <v>0</v>
      </c>
      <c r="BN64" s="76">
        <f t="shared" si="92"/>
        <v>0</v>
      </c>
      <c r="BO64" s="76">
        <f t="shared" si="93"/>
        <v>0</v>
      </c>
      <c r="BP64" s="76">
        <f t="shared" si="94"/>
        <v>0</v>
      </c>
      <c r="BQ64" s="92">
        <f t="shared" si="95"/>
        <v>20052536.039999999</v>
      </c>
    </row>
    <row r="65" spans="1:82" ht="15" hidden="1" customHeight="1" outlineLevel="1">
      <c r="A65" s="789"/>
      <c r="B65" s="660"/>
      <c r="C65" s="660"/>
      <c r="D65" s="9" t="s">
        <v>193</v>
      </c>
      <c r="E65" s="10">
        <v>0</v>
      </c>
      <c r="F65" s="884"/>
      <c r="G65" s="8" t="e">
        <f t="shared" si="72"/>
        <v>#DIV/0!</v>
      </c>
      <c r="H65" s="8" t="e">
        <f t="shared" si="56"/>
        <v>#DIV/0!</v>
      </c>
      <c r="I65" s="8" t="e">
        <f t="shared" si="84"/>
        <v>#DIV/0!</v>
      </c>
      <c r="J65" s="8" t="e">
        <f>ROUND(AL65/E65,3)</f>
        <v>#DIV/0!</v>
      </c>
      <c r="K65" s="8" t="e">
        <f>ROUND((AM65+AN65+AO65+AP65+AQ65)/E65,2)</f>
        <v>#DIV/0!</v>
      </c>
      <c r="L65" s="8" t="e">
        <f>ROUND((AS65+AT65+AU65+AV65+AW65)/E65,2)</f>
        <v>#DIV/0!</v>
      </c>
      <c r="M65" s="8" t="e">
        <f>ROUND((AZ65+BA65)/E65,2)</f>
        <v>#DIV/0!</v>
      </c>
      <c r="N65" s="11" t="e">
        <f t="shared" si="52"/>
        <v>#DIV/0!</v>
      </c>
      <c r="O65" s="11" t="e">
        <f t="shared" si="45"/>
        <v>#DIV/0!</v>
      </c>
      <c r="P65" s="11" t="e">
        <f>ROUND(BG65/E65,2)</f>
        <v>#DIV/0!</v>
      </c>
      <c r="Q65" s="8" t="e">
        <f t="shared" si="85"/>
        <v>#DIV/0!</v>
      </c>
      <c r="R65" s="8" t="e">
        <f t="shared" si="30"/>
        <v>#DIV/0!</v>
      </c>
      <c r="S65" s="8" t="e">
        <f t="shared" si="53"/>
        <v>#DIV/0!</v>
      </c>
      <c r="T65" s="39" t="e">
        <f t="shared" si="23"/>
        <v>#DIV/0!</v>
      </c>
      <c r="U65" s="660"/>
      <c r="V65" s="498">
        <f t="shared" si="86"/>
        <v>36103998.739999995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660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>
        <f t="shared" si="89"/>
        <v>36103998.739999995</v>
      </c>
      <c r="BI65" s="15"/>
      <c r="BJ65" s="15"/>
      <c r="BK65" s="24" t="e">
        <f t="shared" si="90"/>
        <v>#DIV/0!</v>
      </c>
      <c r="BL65" s="76">
        <f t="shared" si="91"/>
        <v>36103998.739999995</v>
      </c>
      <c r="BM65" s="76">
        <f t="shared" si="91"/>
        <v>0</v>
      </c>
      <c r="BN65" s="76">
        <f t="shared" si="92"/>
        <v>0</v>
      </c>
      <c r="BO65" s="76">
        <f t="shared" si="93"/>
        <v>0</v>
      </c>
      <c r="BP65" s="76">
        <f t="shared" si="94"/>
        <v>0</v>
      </c>
      <c r="BQ65" s="92">
        <f t="shared" si="95"/>
        <v>36103998.739999995</v>
      </c>
    </row>
    <row r="66" spans="1:82" ht="45" hidden="1" customHeight="1" outlineLevel="1">
      <c r="A66" s="660"/>
      <c r="B66" s="83" t="s">
        <v>198</v>
      </c>
      <c r="C66" s="83" t="s">
        <v>196</v>
      </c>
      <c r="D66" s="83"/>
      <c r="E66" s="264">
        <v>0</v>
      </c>
      <c r="F66" s="885"/>
      <c r="G66" s="478" t="e">
        <f t="shared" si="72"/>
        <v>#DIV/0!</v>
      </c>
      <c r="H66" s="478" t="e">
        <f t="shared" si="56"/>
        <v>#DIV/0!</v>
      </c>
      <c r="I66" s="478" t="e">
        <f t="shared" si="84"/>
        <v>#DIV/0!</v>
      </c>
      <c r="J66" s="478" t="e">
        <f>ROUND(AL66/E66,3)</f>
        <v>#DIV/0!</v>
      </c>
      <c r="K66" s="478" t="e">
        <f>ROUND((AM66+AN66+AO66+AP66+AQ66)/E66,2)</f>
        <v>#DIV/0!</v>
      </c>
      <c r="L66" s="478" t="e">
        <f>ROUND((AS66+AT66+AU66+AV66+AW66)/E66,2)</f>
        <v>#DIV/0!</v>
      </c>
      <c r="M66" s="478" t="e">
        <f>ROUND((AZ66+BA66)/E66,2)</f>
        <v>#DIV/0!</v>
      </c>
      <c r="N66" s="479" t="e">
        <f t="shared" si="52"/>
        <v>#DIV/0!</v>
      </c>
      <c r="O66" s="479" t="e">
        <f t="shared" si="45"/>
        <v>#DIV/0!</v>
      </c>
      <c r="P66" s="479" t="e">
        <f>ROUND(BG66/E66,2)</f>
        <v>#DIV/0!</v>
      </c>
      <c r="Q66" s="478" t="e">
        <f t="shared" si="85"/>
        <v>#DIV/0!</v>
      </c>
      <c r="R66" s="478" t="e">
        <f t="shared" si="30"/>
        <v>#DIV/0!</v>
      </c>
      <c r="S66" s="478" t="e">
        <f t="shared" si="53"/>
        <v>#DIV/0!</v>
      </c>
      <c r="T66" s="480" t="e">
        <f t="shared" si="23"/>
        <v>#DIV/0!</v>
      </c>
      <c r="U66" s="649"/>
      <c r="V66" s="498">
        <f t="shared" si="86"/>
        <v>66182802.799999997</v>
      </c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649"/>
      <c r="AS66" s="265"/>
      <c r="AT66" s="265"/>
      <c r="AU66" s="265"/>
      <c r="AV66" s="265"/>
      <c r="AW66" s="265"/>
      <c r="AX66" s="265"/>
      <c r="AY66" s="265"/>
      <c r="AZ66" s="265"/>
      <c r="BA66" s="265"/>
      <c r="BB66" s="265"/>
      <c r="BC66" s="265"/>
      <c r="BD66" s="265"/>
      <c r="BE66" s="265"/>
      <c r="BF66" s="265"/>
      <c r="BG66" s="265"/>
      <c r="BH66" s="265">
        <f t="shared" si="89"/>
        <v>66182802.799999997</v>
      </c>
      <c r="BI66" s="265"/>
      <c r="BJ66" s="265"/>
      <c r="BK66" s="481" t="e">
        <f t="shared" si="90"/>
        <v>#DIV/0!</v>
      </c>
      <c r="BL66" s="482">
        <f t="shared" si="91"/>
        <v>66182802.799999997</v>
      </c>
      <c r="BM66" s="482">
        <f t="shared" si="91"/>
        <v>0</v>
      </c>
      <c r="BN66" s="482">
        <f t="shared" si="92"/>
        <v>0</v>
      </c>
      <c r="BO66" s="482">
        <f t="shared" si="93"/>
        <v>0</v>
      </c>
      <c r="BP66" s="482">
        <f t="shared" si="94"/>
        <v>0</v>
      </c>
      <c r="BQ66" s="483">
        <f t="shared" si="95"/>
        <v>66182802.799999997</v>
      </c>
    </row>
    <row r="67" spans="1:82" ht="65.25" customHeight="1" collapsed="1">
      <c r="A67" s="455" t="s">
        <v>194</v>
      </c>
      <c r="B67" s="9" t="s">
        <v>198</v>
      </c>
      <c r="C67" s="9" t="s">
        <v>196</v>
      </c>
      <c r="D67" s="9"/>
      <c r="E67" s="10">
        <v>3194</v>
      </c>
      <c r="F67" s="242" t="s">
        <v>390</v>
      </c>
      <c r="G67" s="8">
        <f t="shared" si="72"/>
        <v>285.69299999999998</v>
      </c>
      <c r="H67" s="8">
        <f t="shared" si="56"/>
        <v>0</v>
      </c>
      <c r="I67" s="8">
        <f>G67+H67</f>
        <v>285.69299999999998</v>
      </c>
      <c r="J67" s="486">
        <f>ROUND((AL67-AK67)/E67,3)</f>
        <v>0.32100000000000001</v>
      </c>
      <c r="K67" s="450">
        <f>ROUND((AM67+AN67+AO67+AP67+AQ67)/E67,3)</f>
        <v>0</v>
      </c>
      <c r="L67" s="450">
        <f>ROUND((AS67+AT67+AU67+AV67+AW67)/E67,3)</f>
        <v>0</v>
      </c>
      <c r="M67" s="450">
        <f>ROUND((AZ67+BA67)/E67,3)</f>
        <v>0</v>
      </c>
      <c r="N67" s="452">
        <f t="shared" si="52"/>
        <v>0</v>
      </c>
      <c r="O67" s="452">
        <f t="shared" si="45"/>
        <v>2.2400000000000002</v>
      </c>
      <c r="P67" s="488">
        <f>ROUND(AK67/E67,3)</f>
        <v>0.376</v>
      </c>
      <c r="Q67" s="8">
        <f>P67+O67+N67+M67+L67+K67+J67+I67</f>
        <v>288.63</v>
      </c>
      <c r="R67" s="8">
        <f t="shared" si="30"/>
        <v>0</v>
      </c>
      <c r="S67" s="8">
        <f t="shared" si="53"/>
        <v>0</v>
      </c>
      <c r="T67" s="39">
        <f>Q67+R67+S67</f>
        <v>288.63</v>
      </c>
      <c r="U67" s="242" t="s">
        <v>390</v>
      </c>
      <c r="V67" s="15">
        <v>700822.5</v>
      </c>
      <c r="W67" s="15">
        <v>211679.8</v>
      </c>
      <c r="X67" s="15"/>
      <c r="Y67" s="15"/>
      <c r="Z67" s="15"/>
      <c r="AA67" s="15"/>
      <c r="AB67" s="15"/>
      <c r="AC67" s="15"/>
      <c r="AD67" s="15">
        <v>1025</v>
      </c>
      <c r="AE67" s="15"/>
      <c r="AF67" s="15"/>
      <c r="AG67" s="15"/>
      <c r="AH67" s="15"/>
      <c r="AI67" s="15"/>
      <c r="AJ67" s="15"/>
      <c r="AK67" s="15">
        <v>1200</v>
      </c>
      <c r="AL67" s="15">
        <f>SUM(AD67:AK67)</f>
        <v>2225</v>
      </c>
      <c r="AM67" s="15"/>
      <c r="AN67" s="15"/>
      <c r="AO67" s="15"/>
      <c r="AP67" s="15"/>
      <c r="AQ67" s="15"/>
      <c r="AR67" s="242" t="s">
        <v>390</v>
      </c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>
        <v>7162</v>
      </c>
      <c r="BG67" s="15"/>
      <c r="BH67" s="15">
        <f t="shared" si="89"/>
        <v>921889.3</v>
      </c>
      <c r="BI67" s="15"/>
      <c r="BJ67" s="15"/>
      <c r="BK67" s="24">
        <f t="shared" si="90"/>
        <v>288.63</v>
      </c>
      <c r="BL67" s="76">
        <f>V67+X67</f>
        <v>700822.5</v>
      </c>
      <c r="BM67" s="76">
        <f>W67+Y67</f>
        <v>211679.8</v>
      </c>
      <c r="BN67" s="76">
        <f>Z67+AA67+AC67</f>
        <v>0</v>
      </c>
      <c r="BO67" s="76">
        <f>BF67</f>
        <v>7162</v>
      </c>
      <c r="BP67" s="76">
        <f>BG67+AL67+AM67+AN67+AO67+AP67+AQ67+AS67+AT67+AU67+AV67+AW67+AX67+AY67+AZ67+BA67+BB67+BC67+BD67</f>
        <v>2225</v>
      </c>
      <c r="BQ67" s="631">
        <f>BL67+BM67+BN67+BO67+BP67</f>
        <v>921889.3</v>
      </c>
    </row>
    <row r="68" spans="1:82" ht="79.5" customHeight="1">
      <c r="A68" s="484" t="s">
        <v>359</v>
      </c>
      <c r="B68" s="13"/>
      <c r="C68" s="13" t="s">
        <v>196</v>
      </c>
      <c r="D68" s="13"/>
      <c r="E68" s="315">
        <v>4240</v>
      </c>
      <c r="F68" s="242" t="s">
        <v>151</v>
      </c>
      <c r="G68" s="8">
        <f t="shared" si="72"/>
        <v>1132.3489999999999</v>
      </c>
      <c r="H68" s="8">
        <f t="shared" si="56"/>
        <v>0</v>
      </c>
      <c r="I68" s="8">
        <f t="shared" si="84"/>
        <v>1132.3489999999999</v>
      </c>
      <c r="J68" s="486">
        <f>ROUND((AL68-AK68)/E68,3)</f>
        <v>2.6589999999999998</v>
      </c>
      <c r="K68" s="450">
        <f>ROUND((AM68+AN68+AO68+AP68+AQ68)/E68,3)</f>
        <v>0</v>
      </c>
      <c r="L68" s="450">
        <f>ROUND((AS68+AT68+AU68+AV68+AW68)/E68,3)</f>
        <v>0</v>
      </c>
      <c r="M68" s="450">
        <f>ROUND((AZ68+BA68)/E68,3)</f>
        <v>0</v>
      </c>
      <c r="N68" s="452">
        <f t="shared" si="52"/>
        <v>0</v>
      </c>
      <c r="O68" s="452">
        <f t="shared" si="45"/>
        <v>4.78</v>
      </c>
      <c r="P68" s="488">
        <f>ROUND(AK68/E68,3)</f>
        <v>5.4960000000000004</v>
      </c>
      <c r="Q68" s="8">
        <f t="shared" si="85"/>
        <v>1145.2839999999999</v>
      </c>
      <c r="R68" s="8">
        <f t="shared" si="30"/>
        <v>0</v>
      </c>
      <c r="S68" s="8">
        <f t="shared" si="53"/>
        <v>0</v>
      </c>
      <c r="T68" s="39">
        <f t="shared" si="23"/>
        <v>1145.2839999999999</v>
      </c>
      <c r="U68" s="242" t="s">
        <v>151</v>
      </c>
      <c r="V68" s="15">
        <v>3687524.16</v>
      </c>
      <c r="W68" s="15">
        <v>1113634.0900000001</v>
      </c>
      <c r="X68" s="15">
        <v>0</v>
      </c>
      <c r="Y68" s="15">
        <v>0</v>
      </c>
      <c r="Z68" s="15"/>
      <c r="AA68" s="15"/>
      <c r="AB68" s="15"/>
      <c r="AC68" s="15"/>
      <c r="AD68" s="15">
        <v>9775</v>
      </c>
      <c r="AE68" s="15"/>
      <c r="AF68" s="15"/>
      <c r="AG68" s="15">
        <v>1500</v>
      </c>
      <c r="AH68" s="15"/>
      <c r="AI68" s="15"/>
      <c r="AJ68" s="15"/>
      <c r="AK68" s="15">
        <v>23303.5</v>
      </c>
      <c r="AL68" s="15">
        <f>SUM(AD68:AK68)</f>
        <v>34578.5</v>
      </c>
      <c r="AM68" s="15"/>
      <c r="AN68" s="15"/>
      <c r="AO68" s="15"/>
      <c r="AP68" s="15"/>
      <c r="AQ68" s="15"/>
      <c r="AR68" s="242" t="s">
        <v>151</v>
      </c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>
        <v>20274</v>
      </c>
      <c r="BG68" s="15"/>
      <c r="BH68" s="15">
        <f t="shared" si="89"/>
        <v>4856010.75</v>
      </c>
      <c r="BI68" s="15"/>
      <c r="BJ68" s="15"/>
      <c r="BK68" s="24">
        <f t="shared" si="90"/>
        <v>1145.29</v>
      </c>
      <c r="BL68" s="76">
        <f t="shared" si="91"/>
        <v>3687524.16</v>
      </c>
      <c r="BM68" s="76">
        <f t="shared" si="91"/>
        <v>1113634.0900000001</v>
      </c>
      <c r="BN68" s="76">
        <f t="shared" si="92"/>
        <v>0</v>
      </c>
      <c r="BO68" s="76">
        <f t="shared" si="93"/>
        <v>20274</v>
      </c>
      <c r="BP68" s="76">
        <f t="shared" si="94"/>
        <v>34578.5</v>
      </c>
      <c r="BQ68" s="632">
        <f t="shared" si="95"/>
        <v>4856010.75</v>
      </c>
      <c r="BY68" s="16"/>
      <c r="BZ68" s="594"/>
    </row>
    <row r="69" spans="1:82" s="98" customFormat="1" ht="28.5">
      <c r="A69" s="493" t="s">
        <v>258</v>
      </c>
      <c r="B69" s="493"/>
      <c r="C69" s="493" t="s">
        <v>252</v>
      </c>
      <c r="D69" s="493"/>
      <c r="E69" s="495">
        <f>SUM(E67:E68)</f>
        <v>7434</v>
      </c>
      <c r="F69" s="503"/>
      <c r="G69" s="489">
        <f>ROUND((V69+W69)/E69,2)</f>
        <v>768.58</v>
      </c>
      <c r="H69" s="489">
        <f t="shared" si="56"/>
        <v>0</v>
      </c>
      <c r="I69" s="489">
        <f>G69+H69</f>
        <v>768.58</v>
      </c>
      <c r="J69" s="490">
        <f>ROUND((AL69-AK69)/E69,3)</f>
        <v>1.655</v>
      </c>
      <c r="K69" s="489">
        <f>ROUND((AM69+AN69+AO69+AP69+AQ69)/E69,3)</f>
        <v>0</v>
      </c>
      <c r="L69" s="489">
        <f>ROUND((AS69+AT69+AU69+AV69+AW69)/E69,3)</f>
        <v>0</v>
      </c>
      <c r="M69" s="489">
        <f>ROUND((AZ69+BA69)/E69,3)</f>
        <v>0</v>
      </c>
      <c r="N69" s="491">
        <f t="shared" si="52"/>
        <v>0</v>
      </c>
      <c r="O69" s="491">
        <f t="shared" si="45"/>
        <v>3.69</v>
      </c>
      <c r="P69" s="492">
        <f>ROUND(AK69/E69,3)</f>
        <v>3.2959999999999998</v>
      </c>
      <c r="Q69" s="489">
        <f>P69+O69+N69+M69+L69+K69+J69+I69</f>
        <v>777.221</v>
      </c>
      <c r="R69" s="489">
        <f t="shared" si="30"/>
        <v>0</v>
      </c>
      <c r="S69" s="489">
        <f t="shared" si="53"/>
        <v>0</v>
      </c>
      <c r="T69" s="489">
        <f t="shared" si="23"/>
        <v>777.221</v>
      </c>
      <c r="U69" s="504"/>
      <c r="V69" s="498">
        <f>V67+V68</f>
        <v>4388346.66</v>
      </c>
      <c r="W69" s="498">
        <f t="shared" ref="W69:BH69" si="96">W67+W68</f>
        <v>1325313.8900000001</v>
      </c>
      <c r="X69" s="498">
        <f t="shared" si="96"/>
        <v>0</v>
      </c>
      <c r="Y69" s="498">
        <f t="shared" si="96"/>
        <v>0</v>
      </c>
      <c r="Z69" s="498">
        <f t="shared" si="96"/>
        <v>0</v>
      </c>
      <c r="AA69" s="498">
        <f t="shared" si="96"/>
        <v>0</v>
      </c>
      <c r="AB69" s="498">
        <f t="shared" si="96"/>
        <v>0</v>
      </c>
      <c r="AC69" s="498">
        <f t="shared" si="96"/>
        <v>0</v>
      </c>
      <c r="AD69" s="498">
        <f t="shared" si="96"/>
        <v>10800</v>
      </c>
      <c r="AE69" s="498">
        <f t="shared" si="96"/>
        <v>0</v>
      </c>
      <c r="AF69" s="498">
        <f t="shared" si="96"/>
        <v>0</v>
      </c>
      <c r="AG69" s="498">
        <f t="shared" si="96"/>
        <v>1500</v>
      </c>
      <c r="AH69" s="498">
        <f t="shared" si="96"/>
        <v>0</v>
      </c>
      <c r="AI69" s="498">
        <f t="shared" si="96"/>
        <v>0</v>
      </c>
      <c r="AJ69" s="498">
        <f t="shared" si="96"/>
        <v>0</v>
      </c>
      <c r="AK69" s="498">
        <f t="shared" si="96"/>
        <v>24503.5</v>
      </c>
      <c r="AL69" s="498">
        <f t="shared" si="96"/>
        <v>36803.5</v>
      </c>
      <c r="AM69" s="498">
        <f t="shared" si="96"/>
        <v>0</v>
      </c>
      <c r="AN69" s="498">
        <f t="shared" si="96"/>
        <v>0</v>
      </c>
      <c r="AO69" s="498">
        <f t="shared" si="96"/>
        <v>0</v>
      </c>
      <c r="AP69" s="498">
        <f t="shared" si="96"/>
        <v>0</v>
      </c>
      <c r="AQ69" s="498">
        <f t="shared" si="96"/>
        <v>0</v>
      </c>
      <c r="AR69" s="498"/>
      <c r="AS69" s="498">
        <f t="shared" si="96"/>
        <v>0</v>
      </c>
      <c r="AT69" s="498">
        <f t="shared" si="96"/>
        <v>0</v>
      </c>
      <c r="AU69" s="498">
        <f t="shared" si="96"/>
        <v>0</v>
      </c>
      <c r="AV69" s="498">
        <f t="shared" si="96"/>
        <v>0</v>
      </c>
      <c r="AW69" s="498">
        <f t="shared" si="96"/>
        <v>0</v>
      </c>
      <c r="AX69" s="498">
        <f t="shared" si="96"/>
        <v>0</v>
      </c>
      <c r="AY69" s="498">
        <f t="shared" si="96"/>
        <v>0</v>
      </c>
      <c r="AZ69" s="498">
        <f t="shared" si="96"/>
        <v>0</v>
      </c>
      <c r="BA69" s="498">
        <f t="shared" si="96"/>
        <v>0</v>
      </c>
      <c r="BB69" s="498">
        <f t="shared" si="96"/>
        <v>0</v>
      </c>
      <c r="BC69" s="498">
        <f t="shared" si="96"/>
        <v>0</v>
      </c>
      <c r="BD69" s="498">
        <f t="shared" si="96"/>
        <v>0</v>
      </c>
      <c r="BE69" s="498">
        <f t="shared" si="96"/>
        <v>0</v>
      </c>
      <c r="BF69" s="498">
        <f t="shared" si="96"/>
        <v>27436</v>
      </c>
      <c r="BG69" s="498">
        <f t="shared" si="96"/>
        <v>0</v>
      </c>
      <c r="BH69" s="498">
        <f t="shared" si="96"/>
        <v>5777900.0499999998</v>
      </c>
      <c r="BI69" s="502">
        <f>BI62+BI63+BI64+BI65+BI66+BI68</f>
        <v>0</v>
      </c>
      <c r="BJ69" s="502">
        <f>BJ62+BJ63+BJ64+BJ65+BJ66+BJ68</f>
        <v>0</v>
      </c>
      <c r="BK69" s="498">
        <f t="shared" si="90"/>
        <v>777.23</v>
      </c>
      <c r="BL69" s="498">
        <f t="shared" ref="BL69:BQ69" si="97">BL67+BL68</f>
        <v>4388346.66</v>
      </c>
      <c r="BM69" s="498">
        <f t="shared" si="97"/>
        <v>1325313.8900000001</v>
      </c>
      <c r="BN69" s="498">
        <f t="shared" si="97"/>
        <v>0</v>
      </c>
      <c r="BO69" s="498">
        <f t="shared" si="97"/>
        <v>27436</v>
      </c>
      <c r="BP69" s="498">
        <f t="shared" si="97"/>
        <v>36803.5</v>
      </c>
      <c r="BQ69" s="498">
        <f t="shared" si="97"/>
        <v>5777900.0499999998</v>
      </c>
      <c r="BY69" s="448"/>
      <c r="BZ69" s="595"/>
    </row>
    <row r="70" spans="1:82" s="328" customFormat="1" ht="6.75" customHeight="1">
      <c r="A70" s="505"/>
      <c r="B70" s="505"/>
      <c r="C70" s="505"/>
      <c r="D70" s="506"/>
      <c r="E70" s="507"/>
      <c r="F70" s="505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8"/>
      <c r="U70" s="508"/>
      <c r="V70" s="509"/>
      <c r="W70" s="509"/>
      <c r="X70" s="509"/>
      <c r="Y70" s="509"/>
      <c r="Z70" s="509"/>
      <c r="AA70" s="509"/>
      <c r="AB70" s="509"/>
      <c r="AC70" s="509"/>
      <c r="AD70" s="509"/>
      <c r="AE70" s="509"/>
      <c r="AF70" s="509"/>
      <c r="AG70" s="509"/>
      <c r="AH70" s="509"/>
      <c r="AI70" s="509"/>
      <c r="AJ70" s="509"/>
      <c r="AK70" s="509"/>
      <c r="AL70" s="509"/>
      <c r="AM70" s="509"/>
      <c r="AN70" s="509"/>
      <c r="AO70" s="509"/>
      <c r="AP70" s="509"/>
      <c r="AQ70" s="509"/>
      <c r="AR70" s="509"/>
      <c r="AS70" s="509"/>
      <c r="AT70" s="509"/>
      <c r="AU70" s="509"/>
      <c r="AV70" s="509"/>
      <c r="AW70" s="509"/>
      <c r="AX70" s="509"/>
      <c r="AY70" s="509"/>
      <c r="AZ70" s="509"/>
      <c r="BA70" s="510"/>
      <c r="BB70" s="510"/>
      <c r="BC70" s="510"/>
      <c r="BD70" s="510"/>
      <c r="BE70" s="510"/>
      <c r="BF70" s="510"/>
      <c r="BG70" s="510"/>
      <c r="BH70" s="510"/>
      <c r="BI70" s="510"/>
      <c r="BJ70" s="510"/>
      <c r="BK70" s="523"/>
      <c r="BL70" s="511"/>
      <c r="BM70" s="511"/>
      <c r="BN70" s="511"/>
      <c r="BO70" s="511"/>
      <c r="BP70" s="511"/>
      <c r="BQ70" s="511"/>
    </row>
    <row r="71" spans="1:82" s="98" customFormat="1" ht="31.5">
      <c r="A71" s="524" t="s">
        <v>320</v>
      </c>
      <c r="B71" s="525"/>
      <c r="C71" s="525"/>
      <c r="D71" s="526"/>
      <c r="E71" s="527">
        <f>E14</f>
        <v>66981</v>
      </c>
      <c r="F71" s="525"/>
      <c r="G71" s="528">
        <f>ROUND((V71+W71)/E71,4)</f>
        <v>266.26679999999999</v>
      </c>
      <c r="H71" s="528">
        <f>ROUND((X71+Y71)/E71,2)</f>
        <v>0</v>
      </c>
      <c r="I71" s="528">
        <f t="shared" ref="I71:I77" si="98">G71+H71</f>
        <v>266.26679999999999</v>
      </c>
      <c r="J71" s="529">
        <f t="shared" ref="J71:J77" si="99">ROUND((AL71-AK71)/E71,3)</f>
        <v>0.48399999999999999</v>
      </c>
      <c r="K71" s="530">
        <f t="shared" ref="K71:K77" si="100">ROUND((AM71+AN71+AO71+AP71+AQ71)/E71,3)</f>
        <v>0.38200000000000001</v>
      </c>
      <c r="L71" s="530">
        <f t="shared" ref="L71:L77" si="101">ROUND((AS71+AT71+AU71+AV71+AW71)/E71,3)</f>
        <v>0.42899999999999999</v>
      </c>
      <c r="M71" s="530">
        <f t="shared" ref="M71:M77" si="102">ROUND((AZ71+BA71)/E71,3)</f>
        <v>3.5830000000000002</v>
      </c>
      <c r="N71" s="531">
        <f t="shared" ref="N71:N77" si="103">ROUND(BE71/E71,2)</f>
        <v>0</v>
      </c>
      <c r="O71" s="531">
        <f>ROUND(BF71/E71,2)</f>
        <v>14.76</v>
      </c>
      <c r="P71" s="532">
        <f t="shared" ref="P71:P77" si="104">ROUND(AK71/E71,3)</f>
        <v>0</v>
      </c>
      <c r="Q71" s="528">
        <f>P71+O71+N71+M71+L71+K71+J71+I71</f>
        <v>285.90479999999997</v>
      </c>
      <c r="R71" s="528">
        <f>ROUND((Z71+AA71+AC71)/E71,3)</f>
        <v>42.046999999999997</v>
      </c>
      <c r="S71" s="528">
        <f t="shared" ref="S71:S77" si="105">ROUND(AX71/E71,2)</f>
        <v>0</v>
      </c>
      <c r="T71" s="528">
        <f>Q71+R71+S71</f>
        <v>327.95179999999993</v>
      </c>
      <c r="U71" s="533"/>
      <c r="V71" s="526">
        <f>V14</f>
        <v>13518053.370000001</v>
      </c>
      <c r="W71" s="526">
        <f t="shared" ref="W71:AQ71" si="106">W14</f>
        <v>4316760.5</v>
      </c>
      <c r="X71" s="526">
        <f t="shared" si="106"/>
        <v>0</v>
      </c>
      <c r="Y71" s="526">
        <f t="shared" si="106"/>
        <v>0</v>
      </c>
      <c r="Z71" s="526">
        <f t="shared" si="106"/>
        <v>1825808</v>
      </c>
      <c r="AA71" s="526">
        <f t="shared" si="106"/>
        <v>759300</v>
      </c>
      <c r="AB71" s="526">
        <f>AB14</f>
        <v>0</v>
      </c>
      <c r="AC71" s="526">
        <f t="shared" si="106"/>
        <v>231256</v>
      </c>
      <c r="AD71" s="526">
        <f t="shared" si="106"/>
        <v>24309</v>
      </c>
      <c r="AE71" s="526">
        <f t="shared" si="106"/>
        <v>0</v>
      </c>
      <c r="AF71" s="526">
        <f t="shared" si="106"/>
        <v>2500</v>
      </c>
      <c r="AG71" s="526">
        <f t="shared" si="106"/>
        <v>2500</v>
      </c>
      <c r="AH71" s="526">
        <f t="shared" si="106"/>
        <v>0</v>
      </c>
      <c r="AI71" s="526">
        <f t="shared" si="106"/>
        <v>0</v>
      </c>
      <c r="AJ71" s="526">
        <f t="shared" si="106"/>
        <v>3100</v>
      </c>
      <c r="AK71" s="526">
        <f t="shared" si="106"/>
        <v>0</v>
      </c>
      <c r="AL71" s="526">
        <f t="shared" si="106"/>
        <v>32409</v>
      </c>
      <c r="AM71" s="526">
        <f t="shared" si="106"/>
        <v>10000</v>
      </c>
      <c r="AN71" s="526">
        <f t="shared" si="106"/>
        <v>0</v>
      </c>
      <c r="AO71" s="526">
        <f t="shared" si="106"/>
        <v>0</v>
      </c>
      <c r="AP71" s="526">
        <f t="shared" si="106"/>
        <v>600</v>
      </c>
      <c r="AQ71" s="526">
        <f t="shared" si="106"/>
        <v>15000</v>
      </c>
      <c r="AR71" s="526"/>
      <c r="AS71" s="526">
        <f t="shared" ref="AS71:BH71" si="107">AS14</f>
        <v>0</v>
      </c>
      <c r="AT71" s="526">
        <f t="shared" si="107"/>
        <v>0</v>
      </c>
      <c r="AU71" s="526">
        <f t="shared" si="107"/>
        <v>28731.95</v>
      </c>
      <c r="AV71" s="526">
        <f t="shared" si="107"/>
        <v>0</v>
      </c>
      <c r="AW71" s="526">
        <f t="shared" si="107"/>
        <v>0</v>
      </c>
      <c r="AX71" s="526">
        <f t="shared" si="107"/>
        <v>0</v>
      </c>
      <c r="AY71" s="526">
        <f t="shared" si="107"/>
        <v>0</v>
      </c>
      <c r="AZ71" s="526">
        <f t="shared" si="107"/>
        <v>239994.3</v>
      </c>
      <c r="BA71" s="526">
        <f t="shared" si="107"/>
        <v>0</v>
      </c>
      <c r="BB71" s="526">
        <f t="shared" si="107"/>
        <v>0</v>
      </c>
      <c r="BC71" s="526">
        <f t="shared" si="107"/>
        <v>0</v>
      </c>
      <c r="BD71" s="526">
        <f t="shared" si="107"/>
        <v>0</v>
      </c>
      <c r="BE71" s="526">
        <f t="shared" si="107"/>
        <v>0</v>
      </c>
      <c r="BF71" s="526">
        <f t="shared" si="107"/>
        <v>988554</v>
      </c>
      <c r="BG71" s="526">
        <f t="shared" si="107"/>
        <v>0</v>
      </c>
      <c r="BH71" s="526">
        <f t="shared" si="107"/>
        <v>21966467.119999997</v>
      </c>
      <c r="BI71" s="533">
        <f>BI14</f>
        <v>0</v>
      </c>
      <c r="BJ71" s="533">
        <f>BJ14</f>
        <v>0</v>
      </c>
      <c r="BK71" s="526">
        <f>ROUND(BH71/E71,3)</f>
        <v>327.95100000000002</v>
      </c>
      <c r="BL71" s="526">
        <f t="shared" ref="BL71:BQ71" si="108">BL14</f>
        <v>13518053.370000001</v>
      </c>
      <c r="BM71" s="526">
        <f t="shared" si="108"/>
        <v>4316760.5</v>
      </c>
      <c r="BN71" s="526">
        <f t="shared" si="108"/>
        <v>2816364</v>
      </c>
      <c r="BO71" s="526">
        <f t="shared" si="108"/>
        <v>988554</v>
      </c>
      <c r="BP71" s="526">
        <f t="shared" si="108"/>
        <v>326735.25</v>
      </c>
      <c r="BQ71" s="526">
        <f t="shared" si="108"/>
        <v>21966467.120000001</v>
      </c>
      <c r="BY71" s="448"/>
      <c r="BZ71" s="595"/>
    </row>
    <row r="72" spans="1:82" s="98" customFormat="1" ht="31.5">
      <c r="A72" s="524" t="s">
        <v>321</v>
      </c>
      <c r="B72" s="525"/>
      <c r="C72" s="525"/>
      <c r="D72" s="526"/>
      <c r="E72" s="527">
        <f>E20</f>
        <v>42216</v>
      </c>
      <c r="F72" s="525"/>
      <c r="G72" s="528">
        <f>ROUND((V72+W72)/E72,3)</f>
        <v>220.935</v>
      </c>
      <c r="H72" s="528">
        <f>ROUND((X72+Y72)/E72,3)</f>
        <v>62.853999999999999</v>
      </c>
      <c r="I72" s="528">
        <f>G72+H72</f>
        <v>283.78899999999999</v>
      </c>
      <c r="J72" s="529">
        <f t="shared" si="99"/>
        <v>1.446</v>
      </c>
      <c r="K72" s="530">
        <f t="shared" si="100"/>
        <v>0.05</v>
      </c>
      <c r="L72" s="530">
        <f t="shared" si="101"/>
        <v>0</v>
      </c>
      <c r="M72" s="530">
        <f t="shared" si="102"/>
        <v>4.1689999999999996</v>
      </c>
      <c r="N72" s="531">
        <f t="shared" si="103"/>
        <v>0</v>
      </c>
      <c r="O72" s="531">
        <f>ROUND(BF72/E72,3)</f>
        <v>12.743</v>
      </c>
      <c r="P72" s="532">
        <f t="shared" si="104"/>
        <v>0.245</v>
      </c>
      <c r="Q72" s="528">
        <f t="shared" ref="Q72:Q77" si="109">P72+O72+N72+M72+L72+K72+J72+I72</f>
        <v>302.44200000000001</v>
      </c>
      <c r="R72" s="528">
        <f>ROUND((Z72+AA72+AC72)/E72,3)</f>
        <v>21.350999999999999</v>
      </c>
      <c r="S72" s="528">
        <f t="shared" si="105"/>
        <v>0</v>
      </c>
      <c r="T72" s="528">
        <f t="shared" ref="T72:T77" si="110">Q72+R72+S72</f>
        <v>323.79300000000001</v>
      </c>
      <c r="U72" s="533"/>
      <c r="V72" s="526">
        <f t="shared" ref="V72:AP72" si="111">V20</f>
        <v>7193936.4199999999</v>
      </c>
      <c r="W72" s="526">
        <f t="shared" si="111"/>
        <v>2133072.23</v>
      </c>
      <c r="X72" s="526">
        <f t="shared" si="111"/>
        <v>2037991</v>
      </c>
      <c r="Y72" s="526">
        <f t="shared" si="111"/>
        <v>615473</v>
      </c>
      <c r="Z72" s="526">
        <f t="shared" si="111"/>
        <v>383884</v>
      </c>
      <c r="AA72" s="526">
        <f t="shared" si="111"/>
        <v>361799</v>
      </c>
      <c r="AB72" s="526">
        <f>AB20</f>
        <v>0</v>
      </c>
      <c r="AC72" s="526">
        <f t="shared" si="111"/>
        <v>155658</v>
      </c>
      <c r="AD72" s="526">
        <f t="shared" si="111"/>
        <v>15000</v>
      </c>
      <c r="AE72" s="526">
        <f t="shared" si="111"/>
        <v>0</v>
      </c>
      <c r="AF72" s="526">
        <f t="shared" si="111"/>
        <v>0</v>
      </c>
      <c r="AG72" s="526">
        <f t="shared" si="111"/>
        <v>970</v>
      </c>
      <c r="AH72" s="526">
        <f t="shared" si="111"/>
        <v>0</v>
      </c>
      <c r="AI72" s="526">
        <f t="shared" si="111"/>
        <v>43350</v>
      </c>
      <c r="AJ72" s="526">
        <f t="shared" si="111"/>
        <v>1720.05</v>
      </c>
      <c r="AK72" s="526">
        <f t="shared" si="111"/>
        <v>10330</v>
      </c>
      <c r="AL72" s="526">
        <f t="shared" si="111"/>
        <v>71370.05</v>
      </c>
      <c r="AM72" s="526">
        <f t="shared" si="111"/>
        <v>0</v>
      </c>
      <c r="AN72" s="526">
        <f t="shared" si="111"/>
        <v>0</v>
      </c>
      <c r="AO72" s="526">
        <f t="shared" si="111"/>
        <v>0</v>
      </c>
      <c r="AP72" s="526">
        <f t="shared" si="111"/>
        <v>2105</v>
      </c>
      <c r="AQ72" s="526"/>
      <c r="AR72" s="526"/>
      <c r="AS72" s="526">
        <f t="shared" ref="AS72:BH72" si="112">AS20</f>
        <v>0</v>
      </c>
      <c r="AT72" s="526">
        <f t="shared" si="112"/>
        <v>0</v>
      </c>
      <c r="AU72" s="526">
        <f t="shared" si="112"/>
        <v>0</v>
      </c>
      <c r="AV72" s="526">
        <f t="shared" si="112"/>
        <v>0</v>
      </c>
      <c r="AW72" s="526">
        <f t="shared" si="112"/>
        <v>0</v>
      </c>
      <c r="AX72" s="526">
        <f t="shared" si="112"/>
        <v>0</v>
      </c>
      <c r="AY72" s="526">
        <f t="shared" si="112"/>
        <v>0</v>
      </c>
      <c r="AZ72" s="526">
        <f t="shared" si="112"/>
        <v>176001.06935999999</v>
      </c>
      <c r="BA72" s="526">
        <f t="shared" si="112"/>
        <v>0</v>
      </c>
      <c r="BB72" s="526">
        <f t="shared" si="112"/>
        <v>0</v>
      </c>
      <c r="BC72" s="526">
        <f t="shared" si="112"/>
        <v>0</v>
      </c>
      <c r="BD72" s="526">
        <f t="shared" si="112"/>
        <v>0</v>
      </c>
      <c r="BE72" s="526">
        <f t="shared" si="112"/>
        <v>0</v>
      </c>
      <c r="BF72" s="526">
        <f t="shared" si="112"/>
        <v>537941.05000000005</v>
      </c>
      <c r="BG72" s="526">
        <f t="shared" si="112"/>
        <v>0</v>
      </c>
      <c r="BH72" s="526">
        <f t="shared" si="112"/>
        <v>13669230.819359999</v>
      </c>
      <c r="BI72" s="534"/>
      <c r="BJ72" s="534"/>
      <c r="BK72" s="526">
        <f>ROUND(BH72/E72,2)</f>
        <v>323.79000000000002</v>
      </c>
      <c r="BL72" s="526">
        <f t="shared" ref="BL72:BQ72" si="113">BL20</f>
        <v>9231927.4199999999</v>
      </c>
      <c r="BM72" s="526">
        <f t="shared" si="113"/>
        <v>2748545.23</v>
      </c>
      <c r="BN72" s="526">
        <f t="shared" si="113"/>
        <v>901341</v>
      </c>
      <c r="BO72" s="526">
        <f t="shared" si="113"/>
        <v>537941.05000000005</v>
      </c>
      <c r="BP72" s="526">
        <f t="shared" si="113"/>
        <v>249476.11936000001</v>
      </c>
      <c r="BQ72" s="526">
        <f t="shared" si="113"/>
        <v>13669230.819360001</v>
      </c>
      <c r="BR72" s="448"/>
      <c r="BS72" s="448"/>
      <c r="BT72" s="448"/>
      <c r="BU72" s="448"/>
      <c r="BY72" s="448"/>
      <c r="BZ72" s="448"/>
      <c r="CA72" s="448"/>
      <c r="CB72" s="448"/>
      <c r="CC72" s="448"/>
      <c r="CD72" s="448"/>
    </row>
    <row r="73" spans="1:82" s="98" customFormat="1" ht="31.5">
      <c r="A73" s="524" t="s">
        <v>322</v>
      </c>
      <c r="B73" s="525"/>
      <c r="C73" s="525"/>
      <c r="D73" s="526"/>
      <c r="E73" s="527">
        <f>E26</f>
        <v>78895</v>
      </c>
      <c r="F73" s="525"/>
      <c r="G73" s="528">
        <f>ROUND((V73+W73)/E73,3)</f>
        <v>246.965</v>
      </c>
      <c r="H73" s="528">
        <f>ROUND((X73+Y73)/E73,3)</f>
        <v>128.72999999999999</v>
      </c>
      <c r="I73" s="528">
        <f>G73+H73</f>
        <v>375.69499999999999</v>
      </c>
      <c r="J73" s="529">
        <f t="shared" si="99"/>
        <v>1.1870000000000001</v>
      </c>
      <c r="K73" s="530">
        <f t="shared" si="100"/>
        <v>2.1059999999999999</v>
      </c>
      <c r="L73" s="530">
        <f t="shared" si="101"/>
        <v>2.7749999999999999</v>
      </c>
      <c r="M73" s="530">
        <f t="shared" si="102"/>
        <v>0.32200000000000001</v>
      </c>
      <c r="N73" s="531">
        <f t="shared" si="103"/>
        <v>0</v>
      </c>
      <c r="O73" s="531">
        <f>ROUND(BF73/E73,2)</f>
        <v>2.2200000000000002</v>
      </c>
      <c r="P73" s="532">
        <f t="shared" si="104"/>
        <v>0.19</v>
      </c>
      <c r="Q73" s="528">
        <f>P73+O73+N73+M73+L73+K73+J73+I73</f>
        <v>384.495</v>
      </c>
      <c r="R73" s="528">
        <f>ROUND((Z73+AA73+AC73)/E73,3)</f>
        <v>4.1070000000000002</v>
      </c>
      <c r="S73" s="528">
        <f t="shared" si="105"/>
        <v>0.06</v>
      </c>
      <c r="T73" s="528">
        <f>Q73+R73+S73</f>
        <v>388.66200000000003</v>
      </c>
      <c r="U73" s="533"/>
      <c r="V73" s="526">
        <f>V26</f>
        <v>14765164</v>
      </c>
      <c r="W73" s="526">
        <f t="shared" ref="W73:AQ73" si="114">W26</f>
        <v>4719107.7699999996</v>
      </c>
      <c r="X73" s="526">
        <f t="shared" si="114"/>
        <v>7699867.6200000001</v>
      </c>
      <c r="Y73" s="526">
        <f t="shared" si="114"/>
        <v>2456258</v>
      </c>
      <c r="Z73" s="526">
        <f t="shared" si="114"/>
        <v>118897.5</v>
      </c>
      <c r="AA73" s="526">
        <f t="shared" si="114"/>
        <v>195565</v>
      </c>
      <c r="AB73" s="526">
        <f>AB26</f>
        <v>0</v>
      </c>
      <c r="AC73" s="526">
        <f t="shared" si="114"/>
        <v>9572</v>
      </c>
      <c r="AD73" s="526">
        <f t="shared" si="114"/>
        <v>11700</v>
      </c>
      <c r="AE73" s="526">
        <f t="shared" si="114"/>
        <v>0</v>
      </c>
      <c r="AF73" s="526">
        <f t="shared" si="114"/>
        <v>9267.2000000000007</v>
      </c>
      <c r="AG73" s="526">
        <f t="shared" si="114"/>
        <v>0</v>
      </c>
      <c r="AH73" s="526">
        <f t="shared" si="114"/>
        <v>0</v>
      </c>
      <c r="AI73" s="526">
        <f t="shared" si="114"/>
        <v>70000</v>
      </c>
      <c r="AJ73" s="526">
        <f t="shared" si="114"/>
        <v>2660.5</v>
      </c>
      <c r="AK73" s="526">
        <f t="shared" si="114"/>
        <v>15000</v>
      </c>
      <c r="AL73" s="526">
        <f t="shared" si="114"/>
        <v>108627.7</v>
      </c>
      <c r="AM73" s="526">
        <f t="shared" si="114"/>
        <v>72000</v>
      </c>
      <c r="AN73" s="526">
        <f t="shared" si="114"/>
        <v>0</v>
      </c>
      <c r="AO73" s="526">
        <f t="shared" si="114"/>
        <v>0</v>
      </c>
      <c r="AP73" s="526">
        <f t="shared" si="114"/>
        <v>2300</v>
      </c>
      <c r="AQ73" s="526">
        <f t="shared" si="114"/>
        <v>91843</v>
      </c>
      <c r="AR73" s="526"/>
      <c r="AS73" s="526">
        <f t="shared" ref="AS73:BH73" si="115">AS26</f>
        <v>0</v>
      </c>
      <c r="AT73" s="526">
        <f t="shared" si="115"/>
        <v>45630</v>
      </c>
      <c r="AU73" s="526">
        <f t="shared" si="115"/>
        <v>173305</v>
      </c>
      <c r="AV73" s="526">
        <f t="shared" si="115"/>
        <v>0</v>
      </c>
      <c r="AW73" s="526">
        <f t="shared" si="115"/>
        <v>0</v>
      </c>
      <c r="AX73" s="526">
        <f t="shared" si="115"/>
        <v>5000</v>
      </c>
      <c r="AY73" s="526">
        <f t="shared" si="115"/>
        <v>0</v>
      </c>
      <c r="AZ73" s="526">
        <f t="shared" si="115"/>
        <v>19305</v>
      </c>
      <c r="BA73" s="526">
        <f t="shared" si="115"/>
        <v>6084</v>
      </c>
      <c r="BB73" s="526">
        <f t="shared" si="115"/>
        <v>0</v>
      </c>
      <c r="BC73" s="526">
        <f t="shared" si="115"/>
        <v>0</v>
      </c>
      <c r="BD73" s="526">
        <f t="shared" si="115"/>
        <v>0</v>
      </c>
      <c r="BE73" s="526">
        <f t="shared" si="115"/>
        <v>0</v>
      </c>
      <c r="BF73" s="526">
        <f t="shared" si="115"/>
        <v>175498</v>
      </c>
      <c r="BG73" s="526">
        <f t="shared" si="115"/>
        <v>0</v>
      </c>
      <c r="BH73" s="526">
        <f t="shared" si="115"/>
        <v>30664024.59</v>
      </c>
      <c r="BI73" s="534"/>
      <c r="BJ73" s="534"/>
      <c r="BK73" s="526">
        <f>ROUND(BH73/E73,2)</f>
        <v>388.67</v>
      </c>
      <c r="BL73" s="526">
        <f t="shared" ref="BL73:BQ73" si="116">BL26</f>
        <v>22465031.620000001</v>
      </c>
      <c r="BM73" s="526">
        <f t="shared" si="116"/>
        <v>7175365.7699999996</v>
      </c>
      <c r="BN73" s="526">
        <f t="shared" si="116"/>
        <v>324034.5</v>
      </c>
      <c r="BO73" s="526">
        <f t="shared" si="116"/>
        <v>175498</v>
      </c>
      <c r="BP73" s="526">
        <f t="shared" si="116"/>
        <v>524094.7</v>
      </c>
      <c r="BQ73" s="526">
        <f t="shared" si="116"/>
        <v>30664024.59</v>
      </c>
      <c r="BR73" s="448"/>
      <c r="BS73" s="448"/>
      <c r="BT73" s="448"/>
      <c r="BU73" s="448"/>
      <c r="BY73" s="448"/>
      <c r="BZ73" s="448"/>
      <c r="CA73" s="448"/>
      <c r="CB73" s="448"/>
      <c r="CC73" s="448"/>
      <c r="CD73" s="448"/>
    </row>
    <row r="74" spans="1:82" s="98" customFormat="1" ht="31.5">
      <c r="A74" s="524" t="s">
        <v>323</v>
      </c>
      <c r="B74" s="525"/>
      <c r="C74" s="525"/>
      <c r="D74" s="526"/>
      <c r="E74" s="527">
        <f>E53</f>
        <v>75</v>
      </c>
      <c r="F74" s="525"/>
      <c r="G74" s="528">
        <f>ROUND((V74+W74)/E74,2)</f>
        <v>96.28</v>
      </c>
      <c r="H74" s="528">
        <f>ROUND((X74+Y74)/E74,2)</f>
        <v>0</v>
      </c>
      <c r="I74" s="528">
        <f t="shared" si="98"/>
        <v>96.28</v>
      </c>
      <c r="J74" s="529">
        <f t="shared" si="99"/>
        <v>1.6</v>
      </c>
      <c r="K74" s="530">
        <f t="shared" si="100"/>
        <v>0</v>
      </c>
      <c r="L74" s="530">
        <f t="shared" si="101"/>
        <v>0</v>
      </c>
      <c r="M74" s="530">
        <f t="shared" si="102"/>
        <v>0</v>
      </c>
      <c r="N74" s="531">
        <f t="shared" si="103"/>
        <v>0</v>
      </c>
      <c r="O74" s="531">
        <f>ROUND(BF74/E74,2)</f>
        <v>12.98</v>
      </c>
      <c r="P74" s="532">
        <f t="shared" si="104"/>
        <v>0</v>
      </c>
      <c r="Q74" s="528">
        <f t="shared" si="109"/>
        <v>110.86</v>
      </c>
      <c r="R74" s="528">
        <f>ROUND((Z74+AA74+AC74)/E74,2)</f>
        <v>0</v>
      </c>
      <c r="S74" s="528">
        <f t="shared" si="105"/>
        <v>0</v>
      </c>
      <c r="T74" s="528">
        <f t="shared" si="110"/>
        <v>110.86</v>
      </c>
      <c r="U74" s="533"/>
      <c r="V74" s="526">
        <f>V53</f>
        <v>5544.75</v>
      </c>
      <c r="W74" s="526">
        <f t="shared" ref="W74:AQ74" si="117">W53</f>
        <v>1676.25</v>
      </c>
      <c r="X74" s="526">
        <f t="shared" si="117"/>
        <v>0</v>
      </c>
      <c r="Y74" s="526">
        <f t="shared" si="117"/>
        <v>0</v>
      </c>
      <c r="Z74" s="526">
        <f t="shared" si="117"/>
        <v>0</v>
      </c>
      <c r="AA74" s="526">
        <f t="shared" si="117"/>
        <v>0</v>
      </c>
      <c r="AB74" s="526">
        <f>AB53</f>
        <v>0</v>
      </c>
      <c r="AC74" s="526">
        <f t="shared" si="117"/>
        <v>0</v>
      </c>
      <c r="AD74" s="526">
        <f t="shared" si="117"/>
        <v>120</v>
      </c>
      <c r="AE74" s="526">
        <f t="shared" si="117"/>
        <v>0</v>
      </c>
      <c r="AF74" s="526">
        <f t="shared" si="117"/>
        <v>0</v>
      </c>
      <c r="AG74" s="526">
        <f t="shared" si="117"/>
        <v>0</v>
      </c>
      <c r="AH74" s="526">
        <f t="shared" si="117"/>
        <v>0</v>
      </c>
      <c r="AI74" s="526">
        <f t="shared" si="117"/>
        <v>0</v>
      </c>
      <c r="AJ74" s="526">
        <f t="shared" si="117"/>
        <v>0</v>
      </c>
      <c r="AK74" s="526">
        <f t="shared" si="117"/>
        <v>0</v>
      </c>
      <c r="AL74" s="526">
        <f t="shared" si="117"/>
        <v>120</v>
      </c>
      <c r="AM74" s="526">
        <f t="shared" si="117"/>
        <v>0</v>
      </c>
      <c r="AN74" s="526">
        <f t="shared" si="117"/>
        <v>0</v>
      </c>
      <c r="AO74" s="526">
        <f t="shared" si="117"/>
        <v>0</v>
      </c>
      <c r="AP74" s="526">
        <f t="shared" si="117"/>
        <v>0</v>
      </c>
      <c r="AQ74" s="526">
        <f t="shared" si="117"/>
        <v>0</v>
      </c>
      <c r="AR74" s="526"/>
      <c r="AS74" s="526">
        <f t="shared" ref="AS74:BH74" si="118">AS53</f>
        <v>0</v>
      </c>
      <c r="AT74" s="526">
        <f t="shared" si="118"/>
        <v>0</v>
      </c>
      <c r="AU74" s="526">
        <f t="shared" si="118"/>
        <v>0</v>
      </c>
      <c r="AV74" s="526">
        <f t="shared" si="118"/>
        <v>0</v>
      </c>
      <c r="AW74" s="526">
        <f t="shared" si="118"/>
        <v>0</v>
      </c>
      <c r="AX74" s="526">
        <f t="shared" si="118"/>
        <v>0</v>
      </c>
      <c r="AY74" s="526">
        <f t="shared" si="118"/>
        <v>0</v>
      </c>
      <c r="AZ74" s="526">
        <f t="shared" si="118"/>
        <v>0</v>
      </c>
      <c r="BA74" s="526">
        <f t="shared" si="118"/>
        <v>0</v>
      </c>
      <c r="BB74" s="526">
        <f t="shared" si="118"/>
        <v>0</v>
      </c>
      <c r="BC74" s="526">
        <f t="shared" si="118"/>
        <v>0</v>
      </c>
      <c r="BD74" s="526">
        <f t="shared" si="118"/>
        <v>0</v>
      </c>
      <c r="BE74" s="526">
        <f t="shared" si="118"/>
        <v>0</v>
      </c>
      <c r="BF74" s="526">
        <f t="shared" si="118"/>
        <v>973.31</v>
      </c>
      <c r="BG74" s="526">
        <f t="shared" si="118"/>
        <v>0</v>
      </c>
      <c r="BH74" s="526">
        <f t="shared" si="118"/>
        <v>8314.31</v>
      </c>
      <c r="BI74" s="534"/>
      <c r="BJ74" s="534"/>
      <c r="BK74" s="526">
        <f>ROUND(BH74/E74,2)</f>
        <v>110.86</v>
      </c>
      <c r="BL74" s="526">
        <f t="shared" ref="BL74:BQ74" si="119">BL53</f>
        <v>5544.75</v>
      </c>
      <c r="BM74" s="526">
        <f t="shared" si="119"/>
        <v>1676.25</v>
      </c>
      <c r="BN74" s="526">
        <f t="shared" si="119"/>
        <v>0</v>
      </c>
      <c r="BO74" s="526">
        <f t="shared" si="119"/>
        <v>973.31</v>
      </c>
      <c r="BP74" s="526">
        <f t="shared" si="119"/>
        <v>120</v>
      </c>
      <c r="BQ74" s="526">
        <f t="shared" si="119"/>
        <v>8314.31</v>
      </c>
    </row>
    <row r="75" spans="1:82" s="98" customFormat="1" ht="31.5">
      <c r="A75" s="524" t="s">
        <v>296</v>
      </c>
      <c r="B75" s="525"/>
      <c r="C75" s="525"/>
      <c r="D75" s="526"/>
      <c r="E75" s="527">
        <f>E46</f>
        <v>77799</v>
      </c>
      <c r="F75" s="525"/>
      <c r="G75" s="528">
        <f>ROUND((V75+W75)/E75,3)</f>
        <v>266.74900000000002</v>
      </c>
      <c r="H75" s="528">
        <f>ROUND((X75+Y75)/E75,3)</f>
        <v>77.042000000000002</v>
      </c>
      <c r="I75" s="528">
        <f t="shared" si="98"/>
        <v>343.79100000000005</v>
      </c>
      <c r="J75" s="529">
        <f t="shared" si="99"/>
        <v>0.86299999999999999</v>
      </c>
      <c r="K75" s="530">
        <f t="shared" si="100"/>
        <v>1.306</v>
      </c>
      <c r="L75" s="530">
        <f t="shared" si="101"/>
        <v>1.431</v>
      </c>
      <c r="M75" s="530">
        <f t="shared" si="102"/>
        <v>3.0950000000000002</v>
      </c>
      <c r="N75" s="531">
        <f t="shared" si="103"/>
        <v>0</v>
      </c>
      <c r="O75" s="531">
        <f>ROUND(BF75/E75,3)</f>
        <v>13.907</v>
      </c>
      <c r="P75" s="532">
        <f t="shared" si="104"/>
        <v>0.42399999999999999</v>
      </c>
      <c r="Q75" s="528">
        <f t="shared" si="109"/>
        <v>364.81700000000006</v>
      </c>
      <c r="R75" s="528">
        <f>ROUND((Z75+AA75+AC75)/E75,3)</f>
        <v>13.925000000000001</v>
      </c>
      <c r="S75" s="528">
        <f t="shared" si="105"/>
        <v>0.05</v>
      </c>
      <c r="T75" s="528">
        <f t="shared" si="110"/>
        <v>378.79200000000009</v>
      </c>
      <c r="U75" s="533"/>
      <c r="V75" s="526">
        <f>V46</f>
        <v>15922619.83</v>
      </c>
      <c r="W75" s="526">
        <f t="shared" ref="W75:AQ75" si="120">W46</f>
        <v>4830208.84</v>
      </c>
      <c r="X75" s="526">
        <f t="shared" si="120"/>
        <v>4603546</v>
      </c>
      <c r="Y75" s="526">
        <f t="shared" si="120"/>
        <v>1390271</v>
      </c>
      <c r="Z75" s="526">
        <f t="shared" si="120"/>
        <v>617480</v>
      </c>
      <c r="AA75" s="526">
        <f t="shared" si="120"/>
        <v>366046</v>
      </c>
      <c r="AB75" s="526">
        <f>AB46</f>
        <v>1042</v>
      </c>
      <c r="AC75" s="526">
        <f t="shared" si="120"/>
        <v>99834</v>
      </c>
      <c r="AD75" s="526">
        <f t="shared" si="120"/>
        <v>46790</v>
      </c>
      <c r="AE75" s="526">
        <f t="shared" si="120"/>
        <v>0</v>
      </c>
      <c r="AF75" s="526">
        <f t="shared" si="120"/>
        <v>1000</v>
      </c>
      <c r="AG75" s="526">
        <f t="shared" si="120"/>
        <v>14882</v>
      </c>
      <c r="AH75" s="526">
        <f t="shared" si="120"/>
        <v>0</v>
      </c>
      <c r="AI75" s="526">
        <f t="shared" si="120"/>
        <v>4440</v>
      </c>
      <c r="AJ75" s="526">
        <f t="shared" si="120"/>
        <v>0</v>
      </c>
      <c r="AK75" s="526">
        <f t="shared" si="120"/>
        <v>33000</v>
      </c>
      <c r="AL75" s="526">
        <f t="shared" si="120"/>
        <v>100112</v>
      </c>
      <c r="AM75" s="526">
        <f t="shared" si="120"/>
        <v>92790</v>
      </c>
      <c r="AN75" s="526">
        <f t="shared" si="120"/>
        <v>0</v>
      </c>
      <c r="AO75" s="526">
        <f t="shared" si="120"/>
        <v>0</v>
      </c>
      <c r="AP75" s="526">
        <f t="shared" si="120"/>
        <v>8845</v>
      </c>
      <c r="AQ75" s="526">
        <f t="shared" si="120"/>
        <v>0</v>
      </c>
      <c r="AR75" s="526"/>
      <c r="AS75" s="526">
        <f t="shared" ref="AS75:BG75" si="121">AS46</f>
        <v>15542</v>
      </c>
      <c r="AT75" s="526">
        <f t="shared" si="121"/>
        <v>37734</v>
      </c>
      <c r="AU75" s="526">
        <f t="shared" si="121"/>
        <v>26455</v>
      </c>
      <c r="AV75" s="526">
        <f t="shared" si="121"/>
        <v>31565</v>
      </c>
      <c r="AW75" s="526">
        <f t="shared" si="121"/>
        <v>0</v>
      </c>
      <c r="AX75" s="526">
        <f t="shared" si="121"/>
        <v>3526.36</v>
      </c>
      <c r="AY75" s="526">
        <f t="shared" si="121"/>
        <v>0</v>
      </c>
      <c r="AZ75" s="526">
        <f t="shared" si="121"/>
        <v>232514</v>
      </c>
      <c r="BA75" s="526">
        <f t="shared" si="121"/>
        <v>8298</v>
      </c>
      <c r="BB75" s="526">
        <f t="shared" si="121"/>
        <v>0</v>
      </c>
      <c r="BC75" s="526">
        <f t="shared" si="121"/>
        <v>0</v>
      </c>
      <c r="BD75" s="526">
        <f t="shared" si="121"/>
        <v>0</v>
      </c>
      <c r="BE75" s="526">
        <f t="shared" si="121"/>
        <v>0</v>
      </c>
      <c r="BF75" s="526">
        <f t="shared" si="121"/>
        <v>1081969</v>
      </c>
      <c r="BG75" s="526">
        <f t="shared" si="121"/>
        <v>0</v>
      </c>
      <c r="BH75" s="526">
        <f>BH46</f>
        <v>29470398.030000001</v>
      </c>
      <c r="BI75" s="534"/>
      <c r="BJ75" s="534"/>
      <c r="BK75" s="526">
        <f>ROUND(BH75/E75,2)</f>
        <v>378.8</v>
      </c>
      <c r="BL75" s="526">
        <f t="shared" ref="BL75:BQ75" si="122">BL46</f>
        <v>20526165.829999998</v>
      </c>
      <c r="BM75" s="526">
        <f t="shared" si="122"/>
        <v>6220479.8399999999</v>
      </c>
      <c r="BN75" s="526">
        <f t="shared" si="122"/>
        <v>1084402</v>
      </c>
      <c r="BO75" s="526">
        <f t="shared" si="122"/>
        <v>1081969</v>
      </c>
      <c r="BP75" s="526">
        <f t="shared" si="122"/>
        <v>557381.36</v>
      </c>
      <c r="BQ75" s="526">
        <f t="shared" si="122"/>
        <v>29470398.030000001</v>
      </c>
      <c r="BR75" s="448"/>
      <c r="BS75" s="448"/>
      <c r="BT75" s="448"/>
      <c r="BU75" s="448"/>
      <c r="BY75" s="448"/>
      <c r="BZ75" s="448"/>
      <c r="CA75" s="448"/>
      <c r="CB75" s="448"/>
      <c r="CC75" s="448"/>
      <c r="CD75" s="448"/>
    </row>
    <row r="76" spans="1:82" s="98" customFormat="1" ht="31.5">
      <c r="A76" s="524" t="s">
        <v>324</v>
      </c>
      <c r="B76" s="525"/>
      <c r="C76" s="525"/>
      <c r="D76" s="526"/>
      <c r="E76" s="527">
        <f>E61</f>
        <v>5790</v>
      </c>
      <c r="F76" s="525"/>
      <c r="G76" s="528">
        <f>ROUND((V76+W76)/E76,3)</f>
        <v>899.721</v>
      </c>
      <c r="H76" s="528">
        <f>ROUND((X76+Y76)/E76,2)</f>
        <v>0</v>
      </c>
      <c r="I76" s="528">
        <f t="shared" si="98"/>
        <v>899.721</v>
      </c>
      <c r="J76" s="529">
        <f t="shared" si="99"/>
        <v>0.38700000000000001</v>
      </c>
      <c r="K76" s="530">
        <f t="shared" si="100"/>
        <v>0</v>
      </c>
      <c r="L76" s="530">
        <f t="shared" si="101"/>
        <v>0</v>
      </c>
      <c r="M76" s="530">
        <f t="shared" si="102"/>
        <v>0</v>
      </c>
      <c r="N76" s="531">
        <f t="shared" si="103"/>
        <v>0</v>
      </c>
      <c r="O76" s="531">
        <f>ROUND(BF76/E76,2)</f>
        <v>17.2</v>
      </c>
      <c r="P76" s="532">
        <f t="shared" si="104"/>
        <v>2.056</v>
      </c>
      <c r="Q76" s="528">
        <f t="shared" si="109"/>
        <v>919.36400000000003</v>
      </c>
      <c r="R76" s="528">
        <f>ROUND((Z76+AA76+AC76)/E76,2)</f>
        <v>0</v>
      </c>
      <c r="S76" s="528">
        <f t="shared" si="105"/>
        <v>0</v>
      </c>
      <c r="T76" s="528">
        <f t="shared" si="110"/>
        <v>919.36400000000003</v>
      </c>
      <c r="U76" s="533"/>
      <c r="V76" s="526">
        <f>V61</f>
        <v>4001073.34</v>
      </c>
      <c r="W76" s="526">
        <f t="shared" ref="W76:AQ76" si="123">W61</f>
        <v>1208310.29</v>
      </c>
      <c r="X76" s="526">
        <f t="shared" si="123"/>
        <v>0</v>
      </c>
      <c r="Y76" s="526">
        <f t="shared" si="123"/>
        <v>0</v>
      </c>
      <c r="Z76" s="526">
        <f t="shared" si="123"/>
        <v>0</v>
      </c>
      <c r="AA76" s="526">
        <f t="shared" si="123"/>
        <v>0</v>
      </c>
      <c r="AB76" s="526">
        <f>AB61</f>
        <v>0</v>
      </c>
      <c r="AC76" s="526">
        <f t="shared" si="123"/>
        <v>0</v>
      </c>
      <c r="AD76" s="526">
        <f t="shared" si="123"/>
        <v>2238</v>
      </c>
      <c r="AE76" s="526">
        <f t="shared" si="123"/>
        <v>0</v>
      </c>
      <c r="AF76" s="526">
        <f t="shared" si="123"/>
        <v>0</v>
      </c>
      <c r="AG76" s="526">
        <f t="shared" si="123"/>
        <v>0</v>
      </c>
      <c r="AH76" s="526">
        <f t="shared" si="123"/>
        <v>0</v>
      </c>
      <c r="AI76" s="526">
        <f t="shared" si="123"/>
        <v>0</v>
      </c>
      <c r="AJ76" s="526">
        <f t="shared" si="123"/>
        <v>0</v>
      </c>
      <c r="AK76" s="526">
        <f t="shared" si="123"/>
        <v>11904</v>
      </c>
      <c r="AL76" s="526">
        <f t="shared" si="123"/>
        <v>14142</v>
      </c>
      <c r="AM76" s="526">
        <f t="shared" si="123"/>
        <v>0</v>
      </c>
      <c r="AN76" s="526">
        <f t="shared" si="123"/>
        <v>0</v>
      </c>
      <c r="AO76" s="526">
        <f t="shared" si="123"/>
        <v>0</v>
      </c>
      <c r="AP76" s="526">
        <f t="shared" si="123"/>
        <v>0</v>
      </c>
      <c r="AQ76" s="526">
        <f t="shared" si="123"/>
        <v>0</v>
      </c>
      <c r="AR76" s="526"/>
      <c r="AS76" s="526">
        <f t="shared" ref="AS76:BH76" si="124">AS61</f>
        <v>0</v>
      </c>
      <c r="AT76" s="526">
        <f t="shared" si="124"/>
        <v>0</v>
      </c>
      <c r="AU76" s="526">
        <f t="shared" si="124"/>
        <v>0</v>
      </c>
      <c r="AV76" s="526">
        <f t="shared" si="124"/>
        <v>0</v>
      </c>
      <c r="AW76" s="526">
        <f t="shared" si="124"/>
        <v>0</v>
      </c>
      <c r="AX76" s="526">
        <f t="shared" si="124"/>
        <v>0</v>
      </c>
      <c r="AY76" s="526">
        <f t="shared" si="124"/>
        <v>0</v>
      </c>
      <c r="AZ76" s="526">
        <f t="shared" si="124"/>
        <v>0</v>
      </c>
      <c r="BA76" s="526">
        <f t="shared" si="124"/>
        <v>0</v>
      </c>
      <c r="BB76" s="526">
        <f t="shared" si="124"/>
        <v>0</v>
      </c>
      <c r="BC76" s="526">
        <f t="shared" si="124"/>
        <v>0</v>
      </c>
      <c r="BD76" s="526">
        <f t="shared" si="124"/>
        <v>0</v>
      </c>
      <c r="BE76" s="526">
        <f t="shared" si="124"/>
        <v>0</v>
      </c>
      <c r="BF76" s="526">
        <f t="shared" si="124"/>
        <v>99608</v>
      </c>
      <c r="BG76" s="526">
        <f t="shared" si="124"/>
        <v>0</v>
      </c>
      <c r="BH76" s="526">
        <f t="shared" si="124"/>
        <v>5323133.63</v>
      </c>
      <c r="BI76" s="534"/>
      <c r="BJ76" s="534"/>
      <c r="BK76" s="526">
        <f>ROUND(BH76/E76,3)</f>
        <v>919.36699999999996</v>
      </c>
      <c r="BL76" s="526">
        <f t="shared" ref="BL76:BQ76" si="125">BL61</f>
        <v>4001073.34</v>
      </c>
      <c r="BM76" s="526">
        <f t="shared" si="125"/>
        <v>1208310.29</v>
      </c>
      <c r="BN76" s="526">
        <f t="shared" si="125"/>
        <v>0</v>
      </c>
      <c r="BO76" s="526">
        <f t="shared" si="125"/>
        <v>99608</v>
      </c>
      <c r="BP76" s="526">
        <f t="shared" si="125"/>
        <v>14142</v>
      </c>
      <c r="BQ76" s="526">
        <f t="shared" si="125"/>
        <v>5323133.63</v>
      </c>
    </row>
    <row r="77" spans="1:82" s="98" customFormat="1" ht="31.5">
      <c r="A77" s="524" t="s">
        <v>325</v>
      </c>
      <c r="B77" s="525"/>
      <c r="C77" s="525"/>
      <c r="D77" s="526"/>
      <c r="E77" s="527">
        <f>E69</f>
        <v>7434</v>
      </c>
      <c r="F77" s="525"/>
      <c r="G77" s="528">
        <f>ROUND((V77+W77)/E77,2)</f>
        <v>768.58</v>
      </c>
      <c r="H77" s="528">
        <f>ROUND((X77+Y77)/E77,2)</f>
        <v>0</v>
      </c>
      <c r="I77" s="528">
        <f t="shared" si="98"/>
        <v>768.58</v>
      </c>
      <c r="J77" s="529">
        <f t="shared" si="99"/>
        <v>1.655</v>
      </c>
      <c r="K77" s="530">
        <f t="shared" si="100"/>
        <v>0</v>
      </c>
      <c r="L77" s="530">
        <f t="shared" si="101"/>
        <v>0</v>
      </c>
      <c r="M77" s="530">
        <f t="shared" si="102"/>
        <v>0</v>
      </c>
      <c r="N77" s="531">
        <f t="shared" si="103"/>
        <v>0</v>
      </c>
      <c r="O77" s="531">
        <f>ROUND(BF77/E77,2)</f>
        <v>3.69</v>
      </c>
      <c r="P77" s="532">
        <f t="shared" si="104"/>
        <v>3.2959999999999998</v>
      </c>
      <c r="Q77" s="528">
        <f t="shared" si="109"/>
        <v>777.221</v>
      </c>
      <c r="R77" s="528">
        <f>ROUND((Z77+AA77+AC77)/E77,2)</f>
        <v>0</v>
      </c>
      <c r="S77" s="528">
        <f t="shared" si="105"/>
        <v>0</v>
      </c>
      <c r="T77" s="528">
        <f t="shared" si="110"/>
        <v>777.221</v>
      </c>
      <c r="U77" s="533"/>
      <c r="V77" s="526">
        <f>V69</f>
        <v>4388346.66</v>
      </c>
      <c r="W77" s="526">
        <f t="shared" ref="W77:AQ77" si="126">W69</f>
        <v>1325313.8900000001</v>
      </c>
      <c r="X77" s="526">
        <f t="shared" si="126"/>
        <v>0</v>
      </c>
      <c r="Y77" s="526">
        <f t="shared" si="126"/>
        <v>0</v>
      </c>
      <c r="Z77" s="526">
        <f t="shared" si="126"/>
        <v>0</v>
      </c>
      <c r="AA77" s="526">
        <f t="shared" si="126"/>
        <v>0</v>
      </c>
      <c r="AB77" s="526">
        <f>AB69</f>
        <v>0</v>
      </c>
      <c r="AC77" s="526">
        <f t="shared" si="126"/>
        <v>0</v>
      </c>
      <c r="AD77" s="526">
        <f t="shared" si="126"/>
        <v>10800</v>
      </c>
      <c r="AE77" s="526">
        <f t="shared" si="126"/>
        <v>0</v>
      </c>
      <c r="AF77" s="526">
        <f t="shared" si="126"/>
        <v>0</v>
      </c>
      <c r="AG77" s="526">
        <f t="shared" si="126"/>
        <v>1500</v>
      </c>
      <c r="AH77" s="526">
        <f t="shared" si="126"/>
        <v>0</v>
      </c>
      <c r="AI77" s="526">
        <f t="shared" si="126"/>
        <v>0</v>
      </c>
      <c r="AJ77" s="526">
        <f t="shared" si="126"/>
        <v>0</v>
      </c>
      <c r="AK77" s="526">
        <f t="shared" si="126"/>
        <v>24503.5</v>
      </c>
      <c r="AL77" s="526">
        <f t="shared" si="126"/>
        <v>36803.5</v>
      </c>
      <c r="AM77" s="526">
        <f t="shared" si="126"/>
        <v>0</v>
      </c>
      <c r="AN77" s="526">
        <f t="shared" si="126"/>
        <v>0</v>
      </c>
      <c r="AO77" s="526">
        <f t="shared" si="126"/>
        <v>0</v>
      </c>
      <c r="AP77" s="526">
        <f t="shared" si="126"/>
        <v>0</v>
      </c>
      <c r="AQ77" s="526">
        <f t="shared" si="126"/>
        <v>0</v>
      </c>
      <c r="AR77" s="526"/>
      <c r="AS77" s="526">
        <f t="shared" ref="AS77:BH77" si="127">AS69</f>
        <v>0</v>
      </c>
      <c r="AT77" s="526">
        <f t="shared" si="127"/>
        <v>0</v>
      </c>
      <c r="AU77" s="526">
        <f t="shared" si="127"/>
        <v>0</v>
      </c>
      <c r="AV77" s="526">
        <f t="shared" si="127"/>
        <v>0</v>
      </c>
      <c r="AW77" s="526">
        <f t="shared" si="127"/>
        <v>0</v>
      </c>
      <c r="AX77" s="526">
        <f t="shared" si="127"/>
        <v>0</v>
      </c>
      <c r="AY77" s="526">
        <f t="shared" si="127"/>
        <v>0</v>
      </c>
      <c r="AZ77" s="526">
        <f t="shared" si="127"/>
        <v>0</v>
      </c>
      <c r="BA77" s="526">
        <f t="shared" si="127"/>
        <v>0</v>
      </c>
      <c r="BB77" s="526">
        <f t="shared" si="127"/>
        <v>0</v>
      </c>
      <c r="BC77" s="526">
        <f t="shared" si="127"/>
        <v>0</v>
      </c>
      <c r="BD77" s="526">
        <f t="shared" si="127"/>
        <v>0</v>
      </c>
      <c r="BE77" s="526">
        <f t="shared" si="127"/>
        <v>0</v>
      </c>
      <c r="BF77" s="526">
        <f t="shared" si="127"/>
        <v>27436</v>
      </c>
      <c r="BG77" s="526">
        <f t="shared" si="127"/>
        <v>0</v>
      </c>
      <c r="BH77" s="526">
        <f t="shared" si="127"/>
        <v>5777900.0499999998</v>
      </c>
      <c r="BI77" s="534"/>
      <c r="BJ77" s="534"/>
      <c r="BK77" s="526">
        <f>ROUND(BH77/E77,2)</f>
        <v>777.23</v>
      </c>
      <c r="BL77" s="526">
        <f t="shared" ref="BL77:BQ77" si="128">BL69</f>
        <v>4388346.66</v>
      </c>
      <c r="BM77" s="526">
        <f t="shared" si="128"/>
        <v>1325313.8900000001</v>
      </c>
      <c r="BN77" s="526">
        <f t="shared" si="128"/>
        <v>0</v>
      </c>
      <c r="BO77" s="526">
        <f t="shared" si="128"/>
        <v>27436</v>
      </c>
      <c r="BP77" s="526">
        <f t="shared" si="128"/>
        <v>36803.5</v>
      </c>
      <c r="BQ77" s="526">
        <f t="shared" si="128"/>
        <v>5777900.0499999998</v>
      </c>
    </row>
    <row r="78" spans="1:82" ht="15">
      <c r="E78" s="250"/>
    </row>
  </sheetData>
  <mergeCells count="127">
    <mergeCell ref="BH4:BH8"/>
    <mergeCell ref="BF4:BF8"/>
    <mergeCell ref="AZ7:AZ8"/>
    <mergeCell ref="BD7:BD8"/>
    <mergeCell ref="F54:F60"/>
    <mergeCell ref="AR54:AR60"/>
    <mergeCell ref="AR9:AR13"/>
    <mergeCell ref="AX7:AX8"/>
    <mergeCell ref="AR47:AR52"/>
    <mergeCell ref="F21:F25"/>
    <mergeCell ref="AS7:AS8"/>
    <mergeCell ref="AT7:AT8"/>
    <mergeCell ref="AR27:AR31"/>
    <mergeCell ref="AR33:AR37"/>
    <mergeCell ref="AR39:AR44"/>
    <mergeCell ref="V6:V8"/>
    <mergeCell ref="AR4:AR8"/>
    <mergeCell ref="Z6:AC7"/>
    <mergeCell ref="W6:W8"/>
    <mergeCell ref="X6:X8"/>
    <mergeCell ref="AM5:AQ5"/>
    <mergeCell ref="AR21:AR25"/>
    <mergeCell ref="AR15:AR19"/>
    <mergeCell ref="BL3:BQ3"/>
    <mergeCell ref="AS4:AY4"/>
    <mergeCell ref="AZ5:BC5"/>
    <mergeCell ref="BJ4:BJ8"/>
    <mergeCell ref="BD5:BD6"/>
    <mergeCell ref="BL4:BQ4"/>
    <mergeCell ref="BM5:BM8"/>
    <mergeCell ref="BK4:BK8"/>
    <mergeCell ref="AS5:AY5"/>
    <mergeCell ref="V3:BK3"/>
    <mergeCell ref="AS6:AW6"/>
    <mergeCell ref="AY7:AY8"/>
    <mergeCell ref="BQ5:BQ8"/>
    <mergeCell ref="BO5:BO8"/>
    <mergeCell ref="BP5:BP8"/>
    <mergeCell ref="AU7:AW7"/>
    <mergeCell ref="BA7:BA8"/>
    <mergeCell ref="BL5:BL8"/>
    <mergeCell ref="BG4:BG8"/>
    <mergeCell ref="BN5:BN8"/>
    <mergeCell ref="BI4:BI8"/>
    <mergeCell ref="BB6:BC6"/>
    <mergeCell ref="BB7:BC8"/>
    <mergeCell ref="AZ4:BD4"/>
    <mergeCell ref="A47:A51"/>
    <mergeCell ref="B47:B50"/>
    <mergeCell ref="U33:U37"/>
    <mergeCell ref="U54:U60"/>
    <mergeCell ref="F39:F44"/>
    <mergeCell ref="BE4:BE8"/>
    <mergeCell ref="U9:U13"/>
    <mergeCell ref="U15:U19"/>
    <mergeCell ref="C21:C24"/>
    <mergeCell ref="C15:C18"/>
    <mergeCell ref="U21:U25"/>
    <mergeCell ref="G7:G8"/>
    <mergeCell ref="H7:H8"/>
    <mergeCell ref="Z4:AQ4"/>
    <mergeCell ref="AD6:AL7"/>
    <mergeCell ref="U3:U8"/>
    <mergeCell ref="AM6:AQ7"/>
    <mergeCell ref="V4:Y4"/>
    <mergeCell ref="V5:Y5"/>
    <mergeCell ref="Z5:AC5"/>
    <mergeCell ref="AD5:AL5"/>
    <mergeCell ref="F9:F13"/>
    <mergeCell ref="R3:S4"/>
    <mergeCell ref="P5:P8"/>
    <mergeCell ref="B21:B24"/>
    <mergeCell ref="B33:B36"/>
    <mergeCell ref="C3:C8"/>
    <mergeCell ref="D3:D8"/>
    <mergeCell ref="B15:B18"/>
    <mergeCell ref="A3:A8"/>
    <mergeCell ref="B3:B8"/>
    <mergeCell ref="B9:B12"/>
    <mergeCell ref="A62:A66"/>
    <mergeCell ref="B62:B65"/>
    <mergeCell ref="C62:C65"/>
    <mergeCell ref="B27:B30"/>
    <mergeCell ref="A9:A13"/>
    <mergeCell ref="A15:A19"/>
    <mergeCell ref="A27:A31"/>
    <mergeCell ref="A21:A25"/>
    <mergeCell ref="C9:C12"/>
    <mergeCell ref="A54:A58"/>
    <mergeCell ref="B54:B57"/>
    <mergeCell ref="C54:C57"/>
    <mergeCell ref="A33:A37"/>
    <mergeCell ref="A39:A43"/>
    <mergeCell ref="B39:B42"/>
    <mergeCell ref="C39:C42"/>
    <mergeCell ref="U62:U66"/>
    <mergeCell ref="AR62:AR66"/>
    <mergeCell ref="F62:F66"/>
    <mergeCell ref="Q3:Q8"/>
    <mergeCell ref="R5:R8"/>
    <mergeCell ref="S5:S8"/>
    <mergeCell ref="G3:P3"/>
    <mergeCell ref="N5:N8"/>
    <mergeCell ref="L5:L8"/>
    <mergeCell ref="I7:I8"/>
    <mergeCell ref="F47:F52"/>
    <mergeCell ref="F27:F31"/>
    <mergeCell ref="F3:F8"/>
    <mergeCell ref="T3:T8"/>
    <mergeCell ref="G4:P4"/>
    <mergeCell ref="F15:F19"/>
    <mergeCell ref="K5:K8"/>
    <mergeCell ref="U39:U44"/>
    <mergeCell ref="O5:O8"/>
    <mergeCell ref="Y6:Y8"/>
    <mergeCell ref="U27:U31"/>
    <mergeCell ref="U47:U52"/>
    <mergeCell ref="F33:F37"/>
    <mergeCell ref="F1:T1"/>
    <mergeCell ref="C2:T2"/>
    <mergeCell ref="M5:M8"/>
    <mergeCell ref="E3:E8"/>
    <mergeCell ref="G5:I5"/>
    <mergeCell ref="J5:J8"/>
    <mergeCell ref="G6:I6"/>
    <mergeCell ref="C47:C50"/>
    <mergeCell ref="C33:C36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P26"/>
  <sheetViews>
    <sheetView topLeftCell="AK1" zoomScale="80" zoomScaleNormal="80" workbookViewId="0">
      <pane ySplit="11" topLeftCell="A12" activePane="bottomLeft" state="frozenSplit"/>
      <selection pane="bottomLeft" activeCell="BK20" sqref="BK20"/>
    </sheetView>
  </sheetViews>
  <sheetFormatPr defaultRowHeight="12.75"/>
  <cols>
    <col min="1" max="1" width="37.42578125" style="3" customWidth="1"/>
    <col min="2" max="2" width="22" style="3" hidden="1" customWidth="1"/>
    <col min="3" max="3" width="18.28515625" style="3" customWidth="1"/>
    <col min="4" max="4" width="15.85546875" style="27" hidden="1" customWidth="1"/>
    <col min="5" max="5" width="12.85546875" style="79" customWidth="1"/>
    <col min="6" max="6" width="9.85546875" style="79" hidden="1" customWidth="1"/>
    <col min="7" max="7" width="13" style="3" hidden="1" customWidth="1"/>
    <col min="8" max="8" width="22.42578125" style="3" customWidth="1"/>
    <col min="9" max="9" width="11.28515625" style="3" customWidth="1"/>
    <col min="10" max="10" width="10.7109375" style="3" customWidth="1"/>
    <col min="11" max="11" width="9.42578125" style="3" customWidth="1"/>
    <col min="12" max="15" width="9" style="3" customWidth="1"/>
    <col min="16" max="16" width="10.5703125" style="3" customWidth="1"/>
    <col min="17" max="19" width="10.85546875" style="3" customWidth="1"/>
    <col min="20" max="21" width="10.7109375" style="3" customWidth="1"/>
    <col min="22" max="22" width="13.85546875" style="17" customWidth="1"/>
    <col min="23" max="23" width="16.7109375" style="17" customWidth="1"/>
    <col min="24" max="24" width="15.85546875" style="173" customWidth="1"/>
    <col min="25" max="25" width="13.140625" style="173" customWidth="1"/>
    <col min="26" max="26" width="12.140625" style="17" customWidth="1"/>
    <col min="27" max="27" width="12.28515625" style="17" customWidth="1"/>
    <col min="28" max="28" width="12.5703125" style="17" customWidth="1"/>
    <col min="29" max="29" width="11.28515625" style="17" customWidth="1"/>
    <col min="30" max="30" width="11.42578125" style="17" customWidth="1"/>
    <col min="31" max="31" width="10.140625" style="17" customWidth="1"/>
    <col min="32" max="32" width="8.42578125" style="17" customWidth="1"/>
    <col min="33" max="33" width="9.42578125" style="17" customWidth="1"/>
    <col min="34" max="34" width="9.5703125" style="17" customWidth="1"/>
    <col min="35" max="35" width="9.42578125" style="17" customWidth="1"/>
    <col min="36" max="36" width="9.7109375" style="17" customWidth="1"/>
    <col min="37" max="37" width="7.5703125" style="17" customWidth="1"/>
    <col min="38" max="38" width="10.7109375" style="17" customWidth="1"/>
    <col min="39" max="39" width="11.140625" style="17" customWidth="1"/>
    <col min="40" max="40" width="8.5703125" style="173" customWidth="1"/>
    <col min="41" max="41" width="9.42578125" style="173" customWidth="1"/>
    <col min="42" max="42" width="11.28515625" style="173" customWidth="1"/>
    <col min="43" max="43" width="9.85546875" style="173" customWidth="1"/>
    <col min="44" max="44" width="10.140625" style="173" customWidth="1"/>
    <col min="45" max="45" width="22" style="3" customWidth="1"/>
    <col min="46" max="46" width="9" style="17" customWidth="1"/>
    <col min="47" max="48" width="9.85546875" style="17" customWidth="1"/>
    <col min="49" max="49" width="10.42578125" style="17" customWidth="1"/>
    <col min="50" max="50" width="8.140625" style="17" customWidth="1"/>
    <col min="51" max="51" width="12.140625" style="17" customWidth="1"/>
    <col min="52" max="52" width="8.140625" style="17" customWidth="1"/>
    <col min="53" max="53" width="11.140625" style="17" customWidth="1"/>
    <col min="54" max="54" width="11" style="5" customWidth="1"/>
    <col min="55" max="56" width="9.28515625" style="5" hidden="1" customWidth="1"/>
    <col min="57" max="58" width="9.28515625" style="5" customWidth="1"/>
    <col min="59" max="59" width="10.140625" style="18" customWidth="1"/>
    <col min="60" max="60" width="8.7109375" style="5" hidden="1" customWidth="1"/>
    <col min="61" max="61" width="14.42578125" style="18" customWidth="1"/>
    <col min="62" max="62" width="11" style="16" customWidth="1"/>
    <col min="63" max="63" width="14.5703125" style="75" customWidth="1"/>
    <col min="64" max="64" width="13" style="75" customWidth="1"/>
    <col min="65" max="65" width="12.42578125" style="75" customWidth="1"/>
    <col min="66" max="66" width="13" style="75" customWidth="1"/>
    <col min="67" max="67" width="12.140625" style="75" customWidth="1"/>
    <col min="68" max="68" width="15" style="112" customWidth="1"/>
  </cols>
  <sheetData>
    <row r="1" spans="1:68" ht="32.25" customHeight="1">
      <c r="I1" s="906" t="s">
        <v>411</v>
      </c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</row>
    <row r="2" spans="1:68" ht="27" customHeight="1">
      <c r="C2" s="908" t="s">
        <v>269</v>
      </c>
      <c r="D2" s="908"/>
      <c r="E2" s="909"/>
      <c r="F2" s="909"/>
      <c r="G2" s="909"/>
      <c r="H2" s="909"/>
      <c r="I2" s="909"/>
      <c r="J2" s="909"/>
      <c r="K2" s="909"/>
      <c r="L2" s="909"/>
      <c r="M2" s="909"/>
      <c r="N2" s="909"/>
      <c r="O2" s="909"/>
      <c r="P2" s="909"/>
      <c r="Q2" s="909"/>
      <c r="R2" s="909"/>
      <c r="S2" s="909"/>
      <c r="T2" s="909"/>
      <c r="U2" s="909"/>
      <c r="V2" s="909"/>
      <c r="W2" s="3"/>
      <c r="BK2"/>
      <c r="BL2"/>
      <c r="BM2"/>
      <c r="BN2"/>
      <c r="BO2"/>
      <c r="BP2" s="1"/>
    </row>
    <row r="3" spans="1:68" ht="35.25" customHeight="1">
      <c r="C3" s="825" t="s">
        <v>270</v>
      </c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907"/>
      <c r="S3" s="907"/>
      <c r="T3" s="907"/>
      <c r="U3" s="907"/>
      <c r="V3" s="907"/>
      <c r="W3" s="3"/>
      <c r="BK3"/>
      <c r="BL3"/>
      <c r="BM3"/>
      <c r="BN3"/>
      <c r="BO3"/>
      <c r="BP3" s="1"/>
    </row>
    <row r="4" spans="1:68" ht="21.75" customHeight="1">
      <c r="C4" s="825" t="s">
        <v>271</v>
      </c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3"/>
      <c r="BK4"/>
      <c r="BL4"/>
      <c r="BM4"/>
      <c r="BN4"/>
      <c r="BO4"/>
      <c r="BP4" s="1"/>
    </row>
    <row r="5" spans="1:68" ht="41.25" customHeight="1">
      <c r="C5" s="825" t="s">
        <v>272</v>
      </c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  <c r="W5" s="3"/>
      <c r="BK5"/>
      <c r="BL5"/>
      <c r="BM5"/>
      <c r="BN5"/>
      <c r="BO5"/>
      <c r="BP5" s="1"/>
    </row>
    <row r="6" spans="1:68" ht="28.5" customHeight="1">
      <c r="A6" s="711" t="s">
        <v>0</v>
      </c>
      <c r="B6" s="711" t="s">
        <v>195</v>
      </c>
      <c r="C6" s="711" t="s">
        <v>2</v>
      </c>
      <c r="D6" s="711" t="s">
        <v>199</v>
      </c>
      <c r="E6" s="711" t="s">
        <v>1</v>
      </c>
      <c r="F6" s="927" t="s">
        <v>57</v>
      </c>
      <c r="G6" s="711" t="s">
        <v>58</v>
      </c>
      <c r="H6" s="731" t="s">
        <v>68</v>
      </c>
      <c r="I6" s="722" t="s">
        <v>61</v>
      </c>
      <c r="J6" s="723"/>
      <c r="K6" s="723"/>
      <c r="L6" s="723"/>
      <c r="M6" s="723"/>
      <c r="N6" s="723"/>
      <c r="O6" s="723"/>
      <c r="P6" s="723"/>
      <c r="Q6" s="723"/>
      <c r="R6" s="723"/>
      <c r="S6" s="680" t="s">
        <v>55</v>
      </c>
      <c r="T6" s="680" t="s">
        <v>56</v>
      </c>
      <c r="U6" s="913"/>
      <c r="V6" s="892" t="s">
        <v>54</v>
      </c>
      <c r="W6" s="915" t="s">
        <v>68</v>
      </c>
      <c r="X6" s="911" t="s">
        <v>60</v>
      </c>
      <c r="Y6" s="911"/>
      <c r="Z6" s="911"/>
      <c r="AA6" s="912"/>
      <c r="AB6" s="912"/>
      <c r="AC6" s="912"/>
      <c r="AD6" s="912"/>
      <c r="AE6" s="912"/>
      <c r="AF6" s="912"/>
      <c r="AG6" s="912"/>
      <c r="AH6" s="912"/>
      <c r="AI6" s="912"/>
      <c r="AJ6" s="912"/>
      <c r="AK6" s="912"/>
      <c r="AL6" s="912"/>
      <c r="AM6" s="912"/>
      <c r="AN6" s="912"/>
      <c r="AO6" s="912"/>
      <c r="AP6" s="912"/>
      <c r="AQ6" s="912"/>
      <c r="AR6" s="912"/>
      <c r="AS6" s="912"/>
      <c r="AT6" s="912"/>
      <c r="AU6" s="912"/>
      <c r="AV6" s="912"/>
      <c r="AW6" s="912"/>
      <c r="AX6" s="912"/>
      <c r="AY6" s="912"/>
      <c r="AZ6" s="912"/>
      <c r="BA6" s="912"/>
      <c r="BB6" s="912"/>
      <c r="BC6" s="912"/>
      <c r="BD6" s="912"/>
      <c r="BE6" s="912"/>
      <c r="BF6" s="912"/>
      <c r="BG6" s="912"/>
      <c r="BH6" s="912"/>
      <c r="BI6" s="912"/>
      <c r="BJ6" s="912"/>
      <c r="BK6" s="712"/>
      <c r="BL6" s="712"/>
      <c r="BM6" s="712"/>
      <c r="BN6" s="712"/>
      <c r="BO6" s="712"/>
      <c r="BP6" s="712"/>
    </row>
    <row r="7" spans="1:68" s="1" customFormat="1" ht="28.5" customHeight="1">
      <c r="A7" s="712"/>
      <c r="B7" s="712"/>
      <c r="C7" s="712"/>
      <c r="D7" s="712"/>
      <c r="E7" s="815"/>
      <c r="F7" s="928"/>
      <c r="G7" s="712"/>
      <c r="H7" s="910"/>
      <c r="I7" s="680" t="s">
        <v>59</v>
      </c>
      <c r="J7" s="681"/>
      <c r="K7" s="681"/>
      <c r="L7" s="681"/>
      <c r="M7" s="681"/>
      <c r="N7" s="681"/>
      <c r="O7" s="681"/>
      <c r="P7" s="681"/>
      <c r="Q7" s="681"/>
      <c r="R7" s="681"/>
      <c r="S7" s="712"/>
      <c r="T7" s="712"/>
      <c r="U7" s="913"/>
      <c r="V7" s="914"/>
      <c r="W7" s="916"/>
      <c r="X7" s="676" t="s">
        <v>62</v>
      </c>
      <c r="Y7" s="676"/>
      <c r="Z7" s="676"/>
      <c r="AA7" s="677"/>
      <c r="AB7" s="688" t="s">
        <v>8</v>
      </c>
      <c r="AC7" s="688"/>
      <c r="AD7" s="688"/>
      <c r="AE7" s="688"/>
      <c r="AF7" s="688"/>
      <c r="AG7" s="688"/>
      <c r="AH7" s="688"/>
      <c r="AI7" s="688"/>
      <c r="AJ7" s="688"/>
      <c r="AK7" s="688"/>
      <c r="AL7" s="688"/>
      <c r="AM7" s="688"/>
      <c r="AN7" s="688"/>
      <c r="AO7" s="688"/>
      <c r="AP7" s="688"/>
      <c r="AQ7" s="688"/>
      <c r="AR7" s="688"/>
      <c r="AS7" s="731" t="s">
        <v>68</v>
      </c>
      <c r="AT7" s="688" t="s">
        <v>19</v>
      </c>
      <c r="AU7" s="688"/>
      <c r="AV7" s="688"/>
      <c r="AW7" s="688"/>
      <c r="AX7" s="688"/>
      <c r="AY7" s="688"/>
      <c r="AZ7" s="688"/>
      <c r="BA7" s="676" t="s">
        <v>19</v>
      </c>
      <c r="BB7" s="676"/>
      <c r="BC7" s="676"/>
      <c r="BD7" s="676"/>
      <c r="BE7" s="676"/>
      <c r="BF7" s="676" t="s">
        <v>20</v>
      </c>
      <c r="BG7" s="676" t="s">
        <v>13</v>
      </c>
      <c r="BH7" s="676" t="s">
        <v>21</v>
      </c>
      <c r="BI7" s="676" t="s">
        <v>22</v>
      </c>
      <c r="BJ7" s="898" t="s">
        <v>25</v>
      </c>
      <c r="BK7" s="815" t="s">
        <v>129</v>
      </c>
      <c r="BL7" s="815"/>
      <c r="BM7" s="815"/>
      <c r="BN7" s="815"/>
      <c r="BO7" s="815"/>
      <c r="BP7" s="815"/>
    </row>
    <row r="8" spans="1:68" s="2" customFormat="1" ht="21" customHeight="1">
      <c r="A8" s="712"/>
      <c r="B8" s="712"/>
      <c r="C8" s="712"/>
      <c r="D8" s="712"/>
      <c r="E8" s="815"/>
      <c r="F8" s="928"/>
      <c r="G8" s="712"/>
      <c r="H8" s="910"/>
      <c r="I8" s="680" t="s">
        <v>53</v>
      </c>
      <c r="J8" s="681"/>
      <c r="K8" s="681"/>
      <c r="L8" s="680" t="s">
        <v>27</v>
      </c>
      <c r="M8" s="680" t="s">
        <v>10</v>
      </c>
      <c r="N8" s="680" t="s">
        <v>5</v>
      </c>
      <c r="O8" s="680" t="s">
        <v>51</v>
      </c>
      <c r="P8" s="680" t="s">
        <v>20</v>
      </c>
      <c r="Q8" s="680" t="s">
        <v>13</v>
      </c>
      <c r="R8" s="680" t="s">
        <v>21</v>
      </c>
      <c r="S8" s="712"/>
      <c r="T8" s="680" t="s">
        <v>16</v>
      </c>
      <c r="U8" s="753" t="s">
        <v>52</v>
      </c>
      <c r="V8" s="914"/>
      <c r="W8" s="916"/>
      <c r="X8" s="676" t="s">
        <v>66</v>
      </c>
      <c r="Y8" s="677"/>
      <c r="Z8" s="677"/>
      <c r="AA8" s="677"/>
      <c r="AB8" s="676" t="s">
        <v>63</v>
      </c>
      <c r="AC8" s="676"/>
      <c r="AD8" s="676"/>
      <c r="AE8" s="692">
        <v>340</v>
      </c>
      <c r="AF8" s="692"/>
      <c r="AG8" s="692"/>
      <c r="AH8" s="692"/>
      <c r="AI8" s="692"/>
      <c r="AJ8" s="692"/>
      <c r="AK8" s="692"/>
      <c r="AL8" s="692"/>
      <c r="AM8" s="692"/>
      <c r="AN8" s="676" t="s">
        <v>4</v>
      </c>
      <c r="AO8" s="676"/>
      <c r="AP8" s="676"/>
      <c r="AQ8" s="676"/>
      <c r="AR8" s="676"/>
      <c r="AS8" s="910"/>
      <c r="AT8" s="676" t="s">
        <v>5</v>
      </c>
      <c r="AU8" s="676"/>
      <c r="AV8" s="676"/>
      <c r="AW8" s="676"/>
      <c r="AX8" s="676"/>
      <c r="AY8" s="676"/>
      <c r="AZ8" s="676"/>
      <c r="BA8" s="676" t="s">
        <v>6</v>
      </c>
      <c r="BB8" s="717"/>
      <c r="BC8" s="677"/>
      <c r="BD8" s="677"/>
      <c r="BE8" s="676">
        <v>290</v>
      </c>
      <c r="BF8" s="676"/>
      <c r="BG8" s="676"/>
      <c r="BH8" s="676"/>
      <c r="BI8" s="676"/>
      <c r="BJ8" s="898"/>
      <c r="BK8" s="877">
        <v>2110</v>
      </c>
      <c r="BL8" s="877">
        <v>2130</v>
      </c>
      <c r="BM8" s="877">
        <v>2230</v>
      </c>
      <c r="BN8" s="877">
        <v>7500</v>
      </c>
      <c r="BO8" s="877">
        <v>7660</v>
      </c>
      <c r="BP8" s="877" t="s">
        <v>130</v>
      </c>
    </row>
    <row r="9" spans="1:68" s="2" customFormat="1" ht="51" customHeight="1">
      <c r="A9" s="712"/>
      <c r="B9" s="712"/>
      <c r="C9" s="712"/>
      <c r="D9" s="712"/>
      <c r="E9" s="815"/>
      <c r="F9" s="928"/>
      <c r="G9" s="712"/>
      <c r="H9" s="910"/>
      <c r="I9" s="680" t="s">
        <v>26</v>
      </c>
      <c r="J9" s="680"/>
      <c r="K9" s="680"/>
      <c r="L9" s="681"/>
      <c r="M9" s="681"/>
      <c r="N9" s="681"/>
      <c r="O9" s="681"/>
      <c r="P9" s="681"/>
      <c r="Q9" s="681"/>
      <c r="R9" s="681"/>
      <c r="S9" s="712"/>
      <c r="T9" s="681"/>
      <c r="U9" s="929"/>
      <c r="V9" s="914"/>
      <c r="W9" s="916"/>
      <c r="X9" s="676" t="s">
        <v>3</v>
      </c>
      <c r="Y9" s="676" t="s">
        <v>64</v>
      </c>
      <c r="Z9" s="676" t="s">
        <v>12</v>
      </c>
      <c r="AA9" s="676" t="s">
        <v>65</v>
      </c>
      <c r="AB9" s="676" t="s">
        <v>16</v>
      </c>
      <c r="AC9" s="676"/>
      <c r="AD9" s="676"/>
      <c r="AE9" s="676" t="s">
        <v>27</v>
      </c>
      <c r="AF9" s="676"/>
      <c r="AG9" s="676"/>
      <c r="AH9" s="676"/>
      <c r="AI9" s="676"/>
      <c r="AJ9" s="676"/>
      <c r="AK9" s="676"/>
      <c r="AL9" s="676"/>
      <c r="AM9" s="676"/>
      <c r="AN9" s="676" t="s">
        <v>10</v>
      </c>
      <c r="AO9" s="676"/>
      <c r="AP9" s="676"/>
      <c r="AQ9" s="676"/>
      <c r="AR9" s="676"/>
      <c r="AS9" s="910"/>
      <c r="AT9" s="692">
        <v>225</v>
      </c>
      <c r="AU9" s="692"/>
      <c r="AV9" s="692"/>
      <c r="AW9" s="692"/>
      <c r="AX9" s="692"/>
      <c r="AY9" s="47">
        <v>290</v>
      </c>
      <c r="AZ9" s="47">
        <v>224</v>
      </c>
      <c r="BA9" s="20" t="s">
        <v>4</v>
      </c>
      <c r="BB9" s="20" t="s">
        <v>4</v>
      </c>
      <c r="BC9" s="676" t="s">
        <v>4</v>
      </c>
      <c r="BD9" s="676"/>
      <c r="BE9" s="676"/>
      <c r="BF9" s="676"/>
      <c r="BG9" s="676"/>
      <c r="BH9" s="676"/>
      <c r="BI9" s="676"/>
      <c r="BJ9" s="898"/>
      <c r="BK9" s="877"/>
      <c r="BL9" s="877"/>
      <c r="BM9" s="877"/>
      <c r="BN9" s="877"/>
      <c r="BO9" s="877"/>
      <c r="BP9" s="877"/>
    </row>
    <row r="10" spans="1:68" s="2" customFormat="1" ht="34.5" customHeight="1">
      <c r="A10" s="712"/>
      <c r="B10" s="712"/>
      <c r="C10" s="712"/>
      <c r="D10" s="712"/>
      <c r="E10" s="815"/>
      <c r="F10" s="928"/>
      <c r="G10" s="712"/>
      <c r="H10" s="910"/>
      <c r="I10" s="680" t="s">
        <v>3</v>
      </c>
      <c r="J10" s="680" t="s">
        <v>12</v>
      </c>
      <c r="K10" s="680" t="s">
        <v>11</v>
      </c>
      <c r="L10" s="681"/>
      <c r="M10" s="681"/>
      <c r="N10" s="681"/>
      <c r="O10" s="681"/>
      <c r="P10" s="681"/>
      <c r="Q10" s="681"/>
      <c r="R10" s="681"/>
      <c r="S10" s="712"/>
      <c r="T10" s="681"/>
      <c r="U10" s="929"/>
      <c r="V10" s="914"/>
      <c r="W10" s="916"/>
      <c r="X10" s="677"/>
      <c r="Y10" s="677"/>
      <c r="Z10" s="677"/>
      <c r="AA10" s="677"/>
      <c r="AB10" s="676"/>
      <c r="AC10" s="676"/>
      <c r="AD10" s="676"/>
      <c r="AE10" s="676"/>
      <c r="AF10" s="676"/>
      <c r="AG10" s="676"/>
      <c r="AH10" s="676"/>
      <c r="AI10" s="676"/>
      <c r="AJ10" s="676"/>
      <c r="AK10" s="676"/>
      <c r="AL10" s="676"/>
      <c r="AM10" s="676"/>
      <c r="AN10" s="676"/>
      <c r="AO10" s="676"/>
      <c r="AP10" s="676"/>
      <c r="AQ10" s="676"/>
      <c r="AR10" s="676"/>
      <c r="AS10" s="910"/>
      <c r="AT10" s="676" t="s">
        <v>127</v>
      </c>
      <c r="AU10" s="676" t="s">
        <v>137</v>
      </c>
      <c r="AV10" s="676" t="s">
        <v>138</v>
      </c>
      <c r="AW10" s="676"/>
      <c r="AX10" s="676"/>
      <c r="AY10" s="676" t="s">
        <v>31</v>
      </c>
      <c r="AZ10" s="676" t="s">
        <v>124</v>
      </c>
      <c r="BA10" s="676" t="s">
        <v>32</v>
      </c>
      <c r="BB10" s="676" t="s">
        <v>33</v>
      </c>
      <c r="BC10" s="676" t="s">
        <v>34</v>
      </c>
      <c r="BD10" s="676"/>
      <c r="BE10" s="676" t="s">
        <v>126</v>
      </c>
      <c r="BF10" s="676"/>
      <c r="BG10" s="676"/>
      <c r="BH10" s="676"/>
      <c r="BI10" s="676"/>
      <c r="BJ10" s="898"/>
      <c r="BK10" s="877"/>
      <c r="BL10" s="877"/>
      <c r="BM10" s="877"/>
      <c r="BN10" s="877"/>
      <c r="BO10" s="877"/>
      <c r="BP10" s="877"/>
    </row>
    <row r="11" spans="1:68" s="2" customFormat="1" ht="90" customHeight="1">
      <c r="A11" s="712"/>
      <c r="B11" s="712"/>
      <c r="C11" s="712"/>
      <c r="D11" s="712"/>
      <c r="E11" s="815"/>
      <c r="F11" s="928"/>
      <c r="G11" s="712"/>
      <c r="H11" s="910"/>
      <c r="I11" s="680"/>
      <c r="J11" s="680"/>
      <c r="K11" s="680"/>
      <c r="L11" s="681"/>
      <c r="M11" s="681"/>
      <c r="N11" s="681"/>
      <c r="O11" s="681"/>
      <c r="P11" s="681"/>
      <c r="Q11" s="681"/>
      <c r="R11" s="681"/>
      <c r="S11" s="712"/>
      <c r="T11" s="681"/>
      <c r="U11" s="929"/>
      <c r="V11" s="914"/>
      <c r="W11" s="916"/>
      <c r="X11" s="677"/>
      <c r="Y11" s="677"/>
      <c r="Z11" s="677"/>
      <c r="AA11" s="677"/>
      <c r="AB11" s="20" t="s">
        <v>9</v>
      </c>
      <c r="AC11" s="20" t="s">
        <v>17</v>
      </c>
      <c r="AD11" s="20" t="s">
        <v>18</v>
      </c>
      <c r="AE11" s="20" t="s">
        <v>36</v>
      </c>
      <c r="AF11" s="20" t="s">
        <v>37</v>
      </c>
      <c r="AG11" s="20" t="s">
        <v>38</v>
      </c>
      <c r="AH11" s="20" t="s">
        <v>39</v>
      </c>
      <c r="AI11" s="20" t="s">
        <v>40</v>
      </c>
      <c r="AJ11" s="20" t="s">
        <v>14</v>
      </c>
      <c r="AK11" s="20" t="s">
        <v>41</v>
      </c>
      <c r="AL11" s="20" t="s">
        <v>15</v>
      </c>
      <c r="AM11" s="20" t="s">
        <v>42</v>
      </c>
      <c r="AN11" s="20" t="s">
        <v>43</v>
      </c>
      <c r="AO11" s="20" t="s">
        <v>44</v>
      </c>
      <c r="AP11" s="20" t="s">
        <v>45</v>
      </c>
      <c r="AQ11" s="20" t="s">
        <v>46</v>
      </c>
      <c r="AR11" s="20" t="s">
        <v>47</v>
      </c>
      <c r="AS11" s="910"/>
      <c r="AT11" s="676"/>
      <c r="AU11" s="676"/>
      <c r="AV11" s="20" t="s">
        <v>48</v>
      </c>
      <c r="AW11" s="20" t="s">
        <v>49</v>
      </c>
      <c r="AX11" s="20" t="s">
        <v>50</v>
      </c>
      <c r="AY11" s="676"/>
      <c r="AZ11" s="676"/>
      <c r="BA11" s="676"/>
      <c r="BB11" s="676"/>
      <c r="BC11" s="676"/>
      <c r="BD11" s="676"/>
      <c r="BE11" s="676"/>
      <c r="BF11" s="676"/>
      <c r="BG11" s="676"/>
      <c r="BH11" s="676"/>
      <c r="BI11" s="676"/>
      <c r="BJ11" s="898"/>
      <c r="BK11" s="877"/>
      <c r="BL11" s="877"/>
      <c r="BM11" s="877"/>
      <c r="BN11" s="877"/>
      <c r="BO11" s="877"/>
      <c r="BP11" s="877"/>
    </row>
    <row r="12" spans="1:68" ht="38.25" customHeight="1">
      <c r="C12" s="920" t="s">
        <v>283</v>
      </c>
      <c r="D12" s="921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1"/>
      <c r="T12" s="921"/>
      <c r="U12" s="922"/>
      <c r="V12" s="241"/>
    </row>
    <row r="13" spans="1:68" ht="47.25">
      <c r="A13" s="917" t="s">
        <v>227</v>
      </c>
      <c r="B13" s="917"/>
      <c r="C13" s="917" t="s">
        <v>228</v>
      </c>
      <c r="D13" s="919"/>
      <c r="E13" s="314">
        <v>450</v>
      </c>
      <c r="F13" s="65">
        <v>1</v>
      </c>
      <c r="G13" s="65">
        <f>ROUND(X13/12/F13,1)</f>
        <v>9628.7999999999993</v>
      </c>
      <c r="H13" s="51" t="s">
        <v>229</v>
      </c>
      <c r="I13" s="53">
        <f>ROUND((X13+Y13)/E13,3)</f>
        <v>334.31299999999999</v>
      </c>
      <c r="J13" s="53">
        <f>ROUND((Z13+AA13)/E13,2)</f>
        <v>0</v>
      </c>
      <c r="K13" s="53">
        <f>I13+J13</f>
        <v>334.31299999999999</v>
      </c>
      <c r="L13" s="53">
        <f>ROUND((AM13-AL13)/E13,3)</f>
        <v>0</v>
      </c>
      <c r="M13" s="53">
        <f>ROUND((AN13+AO13+AP13+AQ13+AR13)/E13,2)</f>
        <v>0</v>
      </c>
      <c r="N13" s="53">
        <f>ROUND((AT13+AU13+AV13+AW13+AX13)/E13,2)</f>
        <v>0</v>
      </c>
      <c r="O13" s="53">
        <f>ROUND((BA13+BB13)/E13,2)</f>
        <v>0</v>
      </c>
      <c r="P13" s="54">
        <f>ROUND(BF13/E13,2)</f>
        <v>0</v>
      </c>
      <c r="Q13" s="54">
        <f>ROUND(BG13/E13,3)</f>
        <v>155.75200000000001</v>
      </c>
      <c r="R13" s="54">
        <f>ROUND(AL13/E13,0)</f>
        <v>0</v>
      </c>
      <c r="S13" s="53">
        <f>R13+Q13+P13+O13+N13+M13+L13+K13</f>
        <v>490.065</v>
      </c>
      <c r="T13" s="53">
        <f>ROUND((AB13+AC13+AD13)/E13,2)</f>
        <v>0</v>
      </c>
      <c r="U13" s="239">
        <f>ROUND(AY13/E13,2)</f>
        <v>0</v>
      </c>
      <c r="V13" s="66">
        <f>S13+T13+U13</f>
        <v>490.065</v>
      </c>
      <c r="W13" s="240" t="s">
        <v>229</v>
      </c>
      <c r="X13" s="43">
        <v>115546</v>
      </c>
      <c r="Y13" s="43">
        <f>ROUND(X13*0.302,0)</f>
        <v>34895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56">
        <f>SUM(AE13:AL13)</f>
        <v>0</v>
      </c>
      <c r="AN13" s="43"/>
      <c r="AO13" s="43"/>
      <c r="AP13" s="43"/>
      <c r="AQ13" s="43"/>
      <c r="AR13" s="65"/>
      <c r="AS13" s="51" t="s">
        <v>229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>
        <f>71411-1322.58</f>
        <v>70088.42</v>
      </c>
      <c r="BH13" s="43"/>
      <c r="BI13" s="43">
        <f>X13+Y13+Z13+AA13+AB13+AC13+AD13+AM13+AN13+AO13+AP13+AQ13+AT13+AU13+AV13+AW13+AX13+AY13+AZ13+BA13+BB13+BC13+BD13+BE13+BF13+BG13+BH13+AR13</f>
        <v>220529.41999999998</v>
      </c>
      <c r="BJ13" s="55">
        <f>ROUND(BI13/E13,3)</f>
        <v>490.065</v>
      </c>
      <c r="BK13" s="81">
        <f>X13+Z13</f>
        <v>115546</v>
      </c>
      <c r="BL13" s="81">
        <f>Y13+AA13</f>
        <v>34895</v>
      </c>
      <c r="BM13" s="81">
        <f>AB13+AC13+AD13</f>
        <v>0</v>
      </c>
      <c r="BN13" s="81">
        <f>BG13</f>
        <v>70088.42</v>
      </c>
      <c r="BO13" s="81">
        <f>BH13+AM13+AN13+AO13+AP13+AQ13+AR13+AT13+AU13+AV13+AW13+AX13+AY13+AZ13+BA13+BB13+BC13+BD13+BE13</f>
        <v>0</v>
      </c>
      <c r="BP13" s="58">
        <f>BK13+BL13+BM13+BN13+BO13</f>
        <v>220529.41999999998</v>
      </c>
    </row>
    <row r="14" spans="1:68" ht="47.25">
      <c r="A14" s="918"/>
      <c r="B14" s="918"/>
      <c r="C14" s="918"/>
      <c r="D14" s="884"/>
      <c r="E14" s="316">
        <v>280</v>
      </c>
      <c r="F14" s="65">
        <v>1</v>
      </c>
      <c r="G14" s="65">
        <f>ROUND(X14/12/F14,1)</f>
        <v>9211.7000000000007</v>
      </c>
      <c r="H14" s="51" t="s">
        <v>230</v>
      </c>
      <c r="I14" s="53">
        <f>ROUND((X14+Y14)/E14,3)</f>
        <v>514.01099999999997</v>
      </c>
      <c r="J14" s="53">
        <f>ROUND((Z14+AA14)/E14,2)</f>
        <v>0</v>
      </c>
      <c r="K14" s="53">
        <f>I14+J14</f>
        <v>514.01099999999997</v>
      </c>
      <c r="L14" s="53">
        <f>ROUND((AM14-AL14)/E14,3)</f>
        <v>0</v>
      </c>
      <c r="M14" s="53">
        <f>ROUND((AN14+AO14+AP14+AQ14+AR14)/E14,2)</f>
        <v>0</v>
      </c>
      <c r="N14" s="53">
        <f>ROUND((AT14+AU14+AV14+AW14+AX14)/E14,2)</f>
        <v>0</v>
      </c>
      <c r="O14" s="53">
        <f>ROUND((BA14+BB14)/E14,2)</f>
        <v>0</v>
      </c>
      <c r="P14" s="54">
        <f>ROUND(BF14/E14,2)</f>
        <v>0</v>
      </c>
      <c r="Q14" s="54">
        <f>ROUND(BG14/E14,2)</f>
        <v>153.49</v>
      </c>
      <c r="R14" s="54">
        <f>ROUND(AL14/E14,0)</f>
        <v>0</v>
      </c>
      <c r="S14" s="53">
        <f>R14+Q14+P14+O14+N14+M14+L14+K14</f>
        <v>667.50099999999998</v>
      </c>
      <c r="T14" s="53">
        <f>ROUND((AB14+AC14+AD14)/E14,2)</f>
        <v>0</v>
      </c>
      <c r="U14" s="239">
        <f>ROUND(AY14/E14,2)</f>
        <v>0</v>
      </c>
      <c r="V14" s="66">
        <f>S14+T14+U14</f>
        <v>667.50099999999998</v>
      </c>
      <c r="W14" s="240" t="s">
        <v>230</v>
      </c>
      <c r="X14" s="65">
        <v>110540</v>
      </c>
      <c r="Y14" s="43">
        <f>ROUND(X14*0.302,0)</f>
        <v>33383</v>
      </c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>
        <f>SUM(AE14:AL14)</f>
        <v>0</v>
      </c>
      <c r="AN14" s="65"/>
      <c r="AO14" s="65"/>
      <c r="AP14" s="65"/>
      <c r="AQ14" s="65"/>
      <c r="AR14" s="65"/>
      <c r="AS14" s="51" t="s">
        <v>230</v>
      </c>
      <c r="AT14" s="56"/>
      <c r="AU14" s="56"/>
      <c r="AV14" s="56"/>
      <c r="AW14" s="56"/>
      <c r="AX14" s="56"/>
      <c r="AY14" s="56"/>
      <c r="AZ14" s="56"/>
      <c r="BA14" s="56"/>
      <c r="BB14" s="57"/>
      <c r="BC14" s="57"/>
      <c r="BD14" s="57"/>
      <c r="BE14" s="57"/>
      <c r="BF14" s="57"/>
      <c r="BG14" s="174">
        <f>44434-1456.23</f>
        <v>42977.77</v>
      </c>
      <c r="BH14" s="57"/>
      <c r="BI14" s="43">
        <f>X14+Y14+Z14+AA14+AB14+AC14+AD14+AM14+AN14+AO14+AP14+AQ14+AT14+AU14+AV14+AW14+AX14+AY14+AZ14+BA14+BB14+BC14+BD14+BE14+BF14+BG14+BH14+AR14</f>
        <v>186900.77</v>
      </c>
      <c r="BJ14" s="55">
        <f>ROUND(BI14/E14,3)</f>
        <v>667.50300000000004</v>
      </c>
      <c r="BK14" s="81">
        <f>X14+Z14</f>
        <v>110540</v>
      </c>
      <c r="BL14" s="81">
        <f>Y14+AA14</f>
        <v>33383</v>
      </c>
      <c r="BM14" s="81">
        <f>AB14+AC14+AD14</f>
        <v>0</v>
      </c>
      <c r="BN14" s="81">
        <f>BG14</f>
        <v>42977.77</v>
      </c>
      <c r="BO14" s="81">
        <f>BH14+AM14+AN14+AO14+AP14+AQ14+AR14+AT14+AU14+AV14+AW14+AX14+AY14+AZ14+BA14+BB14+BC14+BD14+BE14</f>
        <v>0</v>
      </c>
      <c r="BP14" s="58">
        <f>BK14+BL14+BM14+BN14+BO14</f>
        <v>186900.77</v>
      </c>
    </row>
    <row r="15" spans="1:68" ht="15" customHeight="1">
      <c r="A15" s="175"/>
      <c r="B15" s="175"/>
      <c r="C15" s="175"/>
      <c r="D15" s="176"/>
      <c r="E15" s="177"/>
      <c r="F15" s="178"/>
      <c r="G15" s="178"/>
      <c r="H15" s="179"/>
      <c r="I15" s="180"/>
      <c r="J15" s="180"/>
      <c r="K15" s="180"/>
      <c r="L15" s="180"/>
      <c r="M15" s="180"/>
      <c r="N15" s="180"/>
      <c r="O15" s="180"/>
      <c r="P15" s="181"/>
      <c r="Q15" s="181"/>
      <c r="R15" s="181"/>
      <c r="S15" s="180"/>
      <c r="T15" s="180"/>
      <c r="U15" s="180"/>
      <c r="V15" s="180"/>
      <c r="W15" s="190"/>
      <c r="X15" s="178"/>
      <c r="Y15" s="178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78"/>
      <c r="AO15" s="178"/>
      <c r="AP15" s="178"/>
      <c r="AQ15" s="178"/>
      <c r="AR15" s="178"/>
      <c r="AS15" s="183"/>
      <c r="AT15" s="182"/>
      <c r="AU15" s="182"/>
      <c r="AV15" s="182"/>
      <c r="AW15" s="182"/>
      <c r="AX15" s="182"/>
      <c r="AY15" s="182"/>
      <c r="AZ15" s="182"/>
      <c r="BA15" s="182"/>
      <c r="BB15" s="184"/>
      <c r="BC15" s="184"/>
      <c r="BD15" s="184"/>
      <c r="BE15" s="184"/>
      <c r="BF15" s="184"/>
      <c r="BG15" s="185"/>
      <c r="BH15" s="184"/>
      <c r="BI15" s="186"/>
      <c r="BJ15" s="187"/>
      <c r="BK15" s="188"/>
      <c r="BL15" s="188"/>
      <c r="BM15" s="188"/>
      <c r="BN15" s="188"/>
      <c r="BO15" s="188"/>
      <c r="BP15" s="189"/>
    </row>
    <row r="16" spans="1:68" ht="48.75" customHeight="1">
      <c r="A16" s="175"/>
      <c r="B16" s="175"/>
      <c r="C16" s="923" t="s">
        <v>284</v>
      </c>
      <c r="D16" s="923"/>
      <c r="E16" s="924"/>
      <c r="F16" s="924"/>
      <c r="G16" s="924"/>
      <c r="H16" s="924"/>
      <c r="I16" s="924"/>
      <c r="J16" s="924"/>
      <c r="K16" s="924"/>
      <c r="L16" s="924"/>
      <c r="M16" s="924"/>
      <c r="N16" s="924"/>
      <c r="O16" s="924"/>
      <c r="P16" s="924"/>
      <c r="Q16" s="924"/>
      <c r="R16" s="924"/>
      <c r="S16" s="924"/>
      <c r="T16" s="924"/>
      <c r="U16" s="924"/>
      <c r="V16" s="924"/>
      <c r="W16" s="182"/>
      <c r="X16" s="178"/>
      <c r="Y16" s="178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78"/>
      <c r="AO16" s="178"/>
      <c r="AP16" s="178"/>
      <c r="AQ16" s="178"/>
      <c r="AR16" s="178"/>
      <c r="AS16" s="183"/>
      <c r="AT16" s="182"/>
      <c r="AU16" s="182"/>
      <c r="AV16" s="182"/>
      <c r="AW16" s="182"/>
      <c r="AX16" s="182"/>
      <c r="AY16" s="182"/>
      <c r="AZ16" s="182"/>
      <c r="BA16" s="182"/>
      <c r="BB16" s="184"/>
      <c r="BC16" s="184"/>
      <c r="BD16" s="184"/>
      <c r="BE16" s="184"/>
      <c r="BF16" s="184"/>
      <c r="BG16" s="185"/>
      <c r="BH16" s="184"/>
      <c r="BI16" s="186"/>
      <c r="BJ16" s="187"/>
      <c r="BK16" s="188"/>
      <c r="BL16" s="188"/>
      <c r="BM16" s="188"/>
      <c r="BN16" s="188"/>
      <c r="BO16" s="188"/>
      <c r="BP16" s="189"/>
    </row>
    <row r="17" spans="1:68" ht="90" customHeight="1">
      <c r="A17" s="51" t="s">
        <v>227</v>
      </c>
      <c r="B17" s="51"/>
      <c r="C17" s="51" t="s">
        <v>228</v>
      </c>
      <c r="D17" s="242"/>
      <c r="E17" s="142">
        <v>6500</v>
      </c>
      <c r="F17" s="65"/>
      <c r="G17" s="65">
        <v>8128.22293888889</v>
      </c>
      <c r="H17" s="131" t="s">
        <v>231</v>
      </c>
      <c r="I17" s="53">
        <f>ROUND((X17+Y17)/E17,3)</f>
        <v>190.911</v>
      </c>
      <c r="J17" s="53">
        <f>ROUND((Z17+AA17)/E17,2)</f>
        <v>62.62</v>
      </c>
      <c r="K17" s="53">
        <f>I17+J17</f>
        <v>253.53100000000001</v>
      </c>
      <c r="L17" s="53">
        <f>ROUND((AM17-AL17)/E17,3)</f>
        <v>1.0229999999999999</v>
      </c>
      <c r="M17" s="53">
        <f>ROUND((AN17+AO17+AP17+AQ17+AR17)/E17,2)</f>
        <v>0.04</v>
      </c>
      <c r="N17" s="53">
        <f>ROUND((AT17+AU17+AV17+AW17+AX17)/E17,2)</f>
        <v>0</v>
      </c>
      <c r="O17" s="53">
        <f>ROUND((BA17+BB17)/E17,2)</f>
        <v>4.1500000000000004</v>
      </c>
      <c r="P17" s="54">
        <f>ROUND(BF17/E17,2)</f>
        <v>0</v>
      </c>
      <c r="Q17" s="54">
        <f>ROUND(BG17/E17,3)</f>
        <v>12.692</v>
      </c>
      <c r="R17" s="54">
        <f>ROUND(AL17/E17,0)</f>
        <v>0</v>
      </c>
      <c r="S17" s="53">
        <f>R17+Q17+P17+O17+N17+M17+L17+K17</f>
        <v>271.43599999999998</v>
      </c>
      <c r="T17" s="53">
        <f>ROUND((AB17+AC17+AD17)/E17,3)</f>
        <v>21.271999999999998</v>
      </c>
      <c r="U17" s="239">
        <f>ROUND(AY17/E17,2)</f>
        <v>0</v>
      </c>
      <c r="V17" s="66">
        <f>S17+T17+U17</f>
        <v>292.70799999999997</v>
      </c>
      <c r="W17" s="56" t="s">
        <v>231</v>
      </c>
      <c r="X17" s="65">
        <v>953087</v>
      </c>
      <c r="Y17" s="43">
        <f>ROUND(X17*0.302,0)</f>
        <v>287832</v>
      </c>
      <c r="Z17" s="56">
        <v>312633</v>
      </c>
      <c r="AA17" s="43">
        <f>ROUND(Z17*0.302,0)</f>
        <v>94415</v>
      </c>
      <c r="AB17" s="56">
        <v>58889</v>
      </c>
      <c r="AC17" s="56">
        <v>55501</v>
      </c>
      <c r="AD17" s="56">
        <v>23878</v>
      </c>
      <c r="AE17" s="56"/>
      <c r="AF17" s="56"/>
      <c r="AG17" s="56"/>
      <c r="AH17" s="56"/>
      <c r="AI17" s="56"/>
      <c r="AJ17" s="56">
        <v>6650</v>
      </c>
      <c r="AK17" s="56"/>
      <c r="AL17" s="56"/>
      <c r="AM17" s="56">
        <v>6650</v>
      </c>
      <c r="AN17" s="65"/>
      <c r="AO17" s="65"/>
      <c r="AP17" s="65"/>
      <c r="AQ17" s="65">
        <v>279.96499999999992</v>
      </c>
      <c r="AR17" s="65"/>
      <c r="AS17" s="132" t="s">
        <v>231</v>
      </c>
      <c r="AT17" s="56"/>
      <c r="AU17" s="56"/>
      <c r="AV17" s="56"/>
      <c r="AW17" s="56"/>
      <c r="AX17" s="56"/>
      <c r="AY17" s="56"/>
      <c r="AZ17" s="56"/>
      <c r="BA17" s="56">
        <v>26999</v>
      </c>
      <c r="BB17" s="57"/>
      <c r="BC17" s="57"/>
      <c r="BD17" s="57"/>
      <c r="BE17" s="57"/>
      <c r="BF17" s="57"/>
      <c r="BG17" s="174">
        <v>82500</v>
      </c>
      <c r="BH17" s="57"/>
      <c r="BI17" s="58">
        <v>1697301.7366399986</v>
      </c>
      <c r="BJ17" s="55">
        <f>ROUND(BI17/E17,3)</f>
        <v>261.12299999999999</v>
      </c>
      <c r="BK17" s="81">
        <f>X17+Z17</f>
        <v>1265720</v>
      </c>
      <c r="BL17" s="81">
        <f>Y17+AA17</f>
        <v>382247</v>
      </c>
      <c r="BM17" s="81">
        <f>AB17+AC17+AD17</f>
        <v>138268</v>
      </c>
      <c r="BN17" s="81">
        <f>BG17</f>
        <v>82500</v>
      </c>
      <c r="BO17" s="81">
        <f>BH17+AM17+AN17+AO17+AP17+AQ17+AR17+AT17+AU17+AV17+AW17+AX17+AY17+AZ17+BA17+BB17+BC17+BD17+BE17</f>
        <v>33928.964999999997</v>
      </c>
      <c r="BP17" s="58">
        <f>BK17+BL17+BM17+BN17+BO17</f>
        <v>1902663.9650000001</v>
      </c>
    </row>
    <row r="18" spans="1:68" ht="15.75" customHeight="1">
      <c r="A18" s="175"/>
      <c r="B18" s="175"/>
      <c r="C18" s="175"/>
      <c r="D18" s="176"/>
      <c r="E18" s="177"/>
      <c r="F18" s="178"/>
      <c r="G18" s="178"/>
      <c r="H18" s="179"/>
      <c r="I18" s="180"/>
      <c r="J18" s="180"/>
      <c r="K18" s="180"/>
      <c r="L18" s="180"/>
      <c r="M18" s="180"/>
      <c r="N18" s="180"/>
      <c r="O18" s="180"/>
      <c r="P18" s="181"/>
      <c r="Q18" s="181"/>
      <c r="R18" s="181"/>
      <c r="S18" s="180"/>
      <c r="T18" s="180"/>
      <c r="U18" s="180"/>
      <c r="V18" s="180"/>
      <c r="W18" s="182"/>
      <c r="X18" s="178"/>
      <c r="Y18" s="178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78"/>
      <c r="AO18" s="178"/>
      <c r="AP18" s="178"/>
      <c r="AQ18" s="178"/>
      <c r="AR18" s="178"/>
      <c r="AS18" s="183"/>
      <c r="AT18" s="182"/>
      <c r="AU18" s="182"/>
      <c r="AV18" s="182"/>
      <c r="AW18" s="182"/>
      <c r="AX18" s="182"/>
      <c r="AY18" s="182"/>
      <c r="AZ18" s="182"/>
      <c r="BA18" s="182"/>
      <c r="BB18" s="184"/>
      <c r="BC18" s="184"/>
      <c r="BD18" s="184"/>
      <c r="BE18" s="184"/>
      <c r="BF18" s="184"/>
      <c r="BG18" s="185"/>
      <c r="BH18" s="184"/>
      <c r="BI18" s="186"/>
      <c r="BJ18" s="187"/>
      <c r="BK18" s="188"/>
      <c r="BL18" s="188"/>
      <c r="BM18" s="188"/>
      <c r="BN18" s="188"/>
      <c r="BO18" s="188"/>
      <c r="BP18" s="189"/>
    </row>
    <row r="19" spans="1:68" ht="23.25" customHeight="1">
      <c r="C19" s="923" t="s">
        <v>327</v>
      </c>
      <c r="D19" s="923"/>
      <c r="E19" s="924"/>
      <c r="F19" s="924"/>
      <c r="G19" s="924"/>
      <c r="H19" s="924"/>
      <c r="I19" s="924"/>
      <c r="J19" s="924"/>
      <c r="K19" s="924"/>
      <c r="L19" s="924"/>
      <c r="M19" s="924"/>
      <c r="N19" s="924"/>
      <c r="O19" s="924"/>
      <c r="P19" s="924"/>
      <c r="Q19" s="924"/>
      <c r="R19" s="924"/>
      <c r="S19" s="924"/>
      <c r="T19" s="924"/>
      <c r="U19" s="924"/>
      <c r="V19" s="924"/>
      <c r="W19" s="721"/>
    </row>
    <row r="20" spans="1:68" ht="48" customHeight="1">
      <c r="A20" s="925" t="s">
        <v>232</v>
      </c>
      <c r="B20" s="925"/>
      <c r="C20" s="925" t="s">
        <v>161</v>
      </c>
      <c r="D20" s="925"/>
      <c r="E20" s="314">
        <v>800</v>
      </c>
      <c r="F20" s="142"/>
      <c r="G20" s="132"/>
      <c r="H20" s="51" t="s">
        <v>233</v>
      </c>
      <c r="I20" s="53">
        <f>ROUND((X20+Y20)/E20,3)</f>
        <v>2208.6509999999998</v>
      </c>
      <c r="J20" s="53">
        <f>ROUND((Z20+AA20)/E20,2)</f>
        <v>67.42</v>
      </c>
      <c r="K20" s="53">
        <f>I20+J20</f>
        <v>2276.0709999999999</v>
      </c>
      <c r="L20" s="53">
        <f>ROUND((AM20-AL20)/E20,3)</f>
        <v>3.9060000000000001</v>
      </c>
      <c r="M20" s="53">
        <f>ROUND((AN20+AO20+AP20+AQ20+AR20)/E20,2)</f>
        <v>0</v>
      </c>
      <c r="N20" s="53">
        <f>ROUND((AT20+AU20+AV20+AW20+AX20)/E20,2)</f>
        <v>0</v>
      </c>
      <c r="O20" s="53">
        <f>ROUND((BA20+BB20)/E20,2)</f>
        <v>0</v>
      </c>
      <c r="P20" s="54">
        <f>ROUND(BF20/E20,2)</f>
        <v>0</v>
      </c>
      <c r="Q20" s="54">
        <f>ROUND(BG20/E20,2)</f>
        <v>0</v>
      </c>
      <c r="R20" s="54">
        <f>ROUND(AL20/E20,0)</f>
        <v>4</v>
      </c>
      <c r="S20" s="53">
        <f>R20+Q20+P20+O20+N20+M20+L20+K20</f>
        <v>2283.9769999999999</v>
      </c>
      <c r="T20" s="53">
        <f>ROUND((AB20+AC20+AD20)/E20,2)</f>
        <v>6.57</v>
      </c>
      <c r="U20" s="239">
        <f>ROUND(AY20/E20,2)</f>
        <v>0</v>
      </c>
      <c r="V20" s="66">
        <f>S20+T20+U20</f>
        <v>2290.547</v>
      </c>
      <c r="W20" s="51" t="s">
        <v>233</v>
      </c>
      <c r="X20" s="43">
        <v>1357082</v>
      </c>
      <c r="Y20" s="43">
        <v>409839</v>
      </c>
      <c r="Z20" s="43">
        <v>41426.76</v>
      </c>
      <c r="AA20" s="43">
        <v>12511.2</v>
      </c>
      <c r="AB20" s="43">
        <v>2600</v>
      </c>
      <c r="AC20" s="43">
        <v>1042</v>
      </c>
      <c r="AD20" s="43">
        <v>1615</v>
      </c>
      <c r="AE20" s="43">
        <v>1825</v>
      </c>
      <c r="AF20" s="43"/>
      <c r="AG20" s="43">
        <v>1000</v>
      </c>
      <c r="AH20" s="43">
        <v>300</v>
      </c>
      <c r="AI20" s="43"/>
      <c r="AJ20" s="43"/>
      <c r="AK20" s="43"/>
      <c r="AL20" s="43">
        <v>3125</v>
      </c>
      <c r="AM20" s="56">
        <f>SUM(AE20:AL20)</f>
        <v>6250</v>
      </c>
      <c r="AN20" s="43"/>
      <c r="AO20" s="43"/>
      <c r="AP20" s="43"/>
      <c r="AQ20" s="43"/>
      <c r="AR20" s="65"/>
      <c r="AS20" s="51" t="s">
        <v>233</v>
      </c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>
        <f>X20+Y20+Z20+AA20+AB20+AC20+AD20+AM20+AN20+AO20+AP20+AQ20+AT20+AU20+AV20+AW20+AX20+AY20+AZ20+BA20+BB20+BC20+BD20+BE20+BF20+BG20+BH20+AR20</f>
        <v>1832365.96</v>
      </c>
      <c r="BJ20" s="55">
        <f>ROUND(BI20/E20,2)</f>
        <v>2290.46</v>
      </c>
      <c r="BK20" s="81">
        <f>X20+Z20</f>
        <v>1398508.76</v>
      </c>
      <c r="BL20" s="81">
        <f>Y20+AA20</f>
        <v>422350.2</v>
      </c>
      <c r="BM20" s="81">
        <f>AB20+AC20+AD20</f>
        <v>5257</v>
      </c>
      <c r="BN20" s="81">
        <f>BG20</f>
        <v>0</v>
      </c>
      <c r="BO20" s="81">
        <f>BH20+AM20+AN20+AO20+AP20+AQ20+AR20+AT20+AU20+AV20+AW20+AX20+AY20+AZ20+BA20+BB20+BC20+BD20+BE20</f>
        <v>6250</v>
      </c>
      <c r="BP20" s="58">
        <f>BK20+BL20+BM20+BN20+BO20</f>
        <v>1832365.96</v>
      </c>
    </row>
    <row r="21" spans="1:68" ht="41.25" customHeight="1">
      <c r="A21" s="926"/>
      <c r="B21" s="926"/>
      <c r="C21" s="926"/>
      <c r="D21" s="926"/>
      <c r="E21" s="316">
        <v>600</v>
      </c>
      <c r="F21" s="142"/>
      <c r="G21" s="132"/>
      <c r="H21" s="51" t="s">
        <v>234</v>
      </c>
      <c r="I21" s="53">
        <f>ROUND((X21+Y21)/E21,3)</f>
        <v>3037.7579999999998</v>
      </c>
      <c r="J21" s="53">
        <f>ROUND((Z21+AA21)/E21,3)</f>
        <v>801.923</v>
      </c>
      <c r="K21" s="53">
        <f>I21+J21</f>
        <v>3839.6809999999996</v>
      </c>
      <c r="L21" s="53">
        <f>ROUND((AM21-AL21)/E21,3)</f>
        <v>24.611999999999998</v>
      </c>
      <c r="M21" s="53">
        <f>ROUND((AN21+AO21+AP21+AQ21+AR21)/E21,3)</f>
        <v>2</v>
      </c>
      <c r="N21" s="53">
        <f>ROUND((AT21+AU21+AV21+AW21+AX21)/E21,3)</f>
        <v>15.744999999999999</v>
      </c>
      <c r="O21" s="53">
        <f>ROUND((BA21+BB21)/E21,2)</f>
        <v>0</v>
      </c>
      <c r="P21" s="54">
        <f>ROUND(BF21/E21,2)</f>
        <v>0</v>
      </c>
      <c r="Q21" s="54">
        <f>ROUND(BG21/E21,2)</f>
        <v>0</v>
      </c>
      <c r="R21" s="54">
        <f>ROUND(AL21/E21,0)</f>
        <v>0</v>
      </c>
      <c r="S21" s="53">
        <f>R21+Q21+P21+O21+N21+M21+L21+K21</f>
        <v>3882.0379999999996</v>
      </c>
      <c r="T21" s="53">
        <f>ROUND((AB21+AC21+AD21)/E21,2)</f>
        <v>57.21</v>
      </c>
      <c r="U21" s="239">
        <f>ROUND(AY21/E21,2)</f>
        <v>0</v>
      </c>
      <c r="V21" s="66">
        <f>S21+T21+U21</f>
        <v>3939.2479999999996</v>
      </c>
      <c r="W21" s="51" t="s">
        <v>234</v>
      </c>
      <c r="X21" s="43">
        <f>1391981-10135</f>
        <v>1381846</v>
      </c>
      <c r="Y21" s="43">
        <f>ROUND(X21*0.319,0)</f>
        <v>440809</v>
      </c>
      <c r="Z21" s="65">
        <v>364787</v>
      </c>
      <c r="AA21" s="43">
        <f>ROUND(Z21*0.319,0)</f>
        <v>116367</v>
      </c>
      <c r="AB21" s="65">
        <v>13579</v>
      </c>
      <c r="AC21" s="65">
        <v>19688</v>
      </c>
      <c r="AD21" s="65">
        <v>1059</v>
      </c>
      <c r="AE21" s="56"/>
      <c r="AF21" s="56"/>
      <c r="AG21" s="56"/>
      <c r="AH21" s="56"/>
      <c r="AI21" s="56"/>
      <c r="AJ21" s="81">
        <f>15000-233</f>
        <v>14767</v>
      </c>
      <c r="AK21" s="56"/>
      <c r="AL21" s="56"/>
      <c r="AM21" s="56">
        <f>SUM(AE21:AL21)</f>
        <v>14767</v>
      </c>
      <c r="AN21" s="65"/>
      <c r="AO21" s="65"/>
      <c r="AP21" s="65"/>
      <c r="AQ21" s="65">
        <v>1200</v>
      </c>
      <c r="AR21" s="65"/>
      <c r="AS21" s="51" t="s">
        <v>234</v>
      </c>
      <c r="AT21" s="65">
        <v>2419</v>
      </c>
      <c r="AU21" s="65">
        <v>2236</v>
      </c>
      <c r="AV21" s="65">
        <v>1836</v>
      </c>
      <c r="AW21" s="65">
        <v>2955.8</v>
      </c>
      <c r="AX21" s="56"/>
      <c r="AY21" s="56"/>
      <c r="AZ21" s="56"/>
      <c r="BA21" s="56"/>
      <c r="BB21" s="57"/>
      <c r="BC21" s="57"/>
      <c r="BD21" s="57"/>
      <c r="BE21" s="57"/>
      <c r="BF21" s="57"/>
      <c r="BG21" s="174"/>
      <c r="BH21" s="57"/>
      <c r="BI21" s="43">
        <f>X21+Y21+Z21+AA21+AB21+AC21+AD21+AM21+AN21+AO21+AP21+AQ21+AT21+AU21+AV21+AW21+AX21+AY21+AZ21+BA21+BB21+BC21+BD21+BE21+BF21+BG21+BH21+AR21</f>
        <v>2363548.7999999998</v>
      </c>
      <c r="BJ21" s="55">
        <f>ROUND(BI21/E21,2)</f>
        <v>3939.25</v>
      </c>
      <c r="BK21" s="81">
        <f>X21+Z21</f>
        <v>1746633</v>
      </c>
      <c r="BL21" s="81">
        <f>Y21+AA21</f>
        <v>557176</v>
      </c>
      <c r="BM21" s="81">
        <f>AB21+AC21+AD21</f>
        <v>34326</v>
      </c>
      <c r="BN21" s="81">
        <f>BG21</f>
        <v>0</v>
      </c>
      <c r="BO21" s="81">
        <f>BH21+AM21+AN21+AO21+AP21+AQ21+AR21+AT21+AU21+AV21+AW21+AX21+AY21+AZ21+BA21+BB21+BC21+BD21+BE21</f>
        <v>25413.8</v>
      </c>
      <c r="BP21" s="58">
        <f>BK21+BL21+BM21+BN21+BO21</f>
        <v>2363548.7999999998</v>
      </c>
    </row>
    <row r="22" spans="1:68" ht="48.75" customHeight="1">
      <c r="C22" s="923" t="s">
        <v>326</v>
      </c>
      <c r="D22" s="923"/>
      <c r="E22" s="924"/>
      <c r="F22" s="924"/>
      <c r="G22" s="924"/>
      <c r="H22" s="924"/>
      <c r="I22" s="924"/>
      <c r="J22" s="924"/>
      <c r="K22" s="924"/>
      <c r="L22" s="924"/>
      <c r="M22" s="924"/>
      <c r="N22" s="924"/>
      <c r="O22" s="924"/>
      <c r="P22" s="924"/>
      <c r="Q22" s="924"/>
      <c r="R22" s="924"/>
      <c r="S22" s="924"/>
      <c r="T22" s="924"/>
      <c r="U22" s="924"/>
      <c r="V22" s="924"/>
      <c r="W22" s="721"/>
    </row>
    <row r="23" spans="1:68" ht="110.25" customHeight="1">
      <c r="A23" s="51" t="s">
        <v>235</v>
      </c>
      <c r="B23" s="51"/>
      <c r="C23" s="51" t="s">
        <v>267</v>
      </c>
      <c r="D23" s="51"/>
      <c r="E23" s="64">
        <v>600</v>
      </c>
      <c r="F23" s="142">
        <v>5</v>
      </c>
      <c r="G23" s="132"/>
      <c r="H23" s="51" t="s">
        <v>236</v>
      </c>
      <c r="I23" s="53">
        <f>ROUND((X23+Y23)/E23,3)</f>
        <v>1703.943</v>
      </c>
      <c r="J23" s="53">
        <f>ROUND((Z23+AA23)/E23,2)</f>
        <v>492.04</v>
      </c>
      <c r="K23" s="53">
        <f>I23+J23</f>
        <v>2195.9830000000002</v>
      </c>
      <c r="L23" s="53">
        <f>ROUND((AM23-AL23)/E23,3)</f>
        <v>0</v>
      </c>
      <c r="M23" s="53">
        <f>ROUND((AN23+AO23+AP23+AQ23+AR23)/E23,2)</f>
        <v>14.48</v>
      </c>
      <c r="N23" s="53">
        <f>ROUND((AT23+AU23+AV23+AW23+AX23)/E23,2)</f>
        <v>27.18</v>
      </c>
      <c r="O23" s="53">
        <f>ROUND((BA23+BB23)/E23,2)</f>
        <v>35.93</v>
      </c>
      <c r="P23" s="54">
        <f>ROUND(BF23/E23,2)</f>
        <v>0</v>
      </c>
      <c r="Q23" s="54">
        <f>ROUND(BG23/E23,2)</f>
        <v>0</v>
      </c>
      <c r="R23" s="54">
        <f>ROUND(AL23/E23,0)</f>
        <v>0</v>
      </c>
      <c r="S23" s="53">
        <f>R23+Q23+P23+O23+N23+M23+L23+K23</f>
        <v>2273.5730000000003</v>
      </c>
      <c r="T23" s="53">
        <f>ROUND((AB23+AC23+AD23)/E23,2)</f>
        <v>90.31</v>
      </c>
      <c r="U23" s="239">
        <f>ROUND(AY23/E23,2)</f>
        <v>0.51</v>
      </c>
      <c r="V23" s="66">
        <f>S23+T23+U23</f>
        <v>2364.3930000000005</v>
      </c>
      <c r="W23" s="243" t="s">
        <v>268</v>
      </c>
      <c r="X23" s="58">
        <v>785227</v>
      </c>
      <c r="Y23" s="58">
        <f>ROUND(X23*0.302,0)</f>
        <v>237139</v>
      </c>
      <c r="Z23" s="58">
        <v>226747</v>
      </c>
      <c r="AA23" s="58">
        <f>ROUND(Z23*0.302,0)</f>
        <v>68478</v>
      </c>
      <c r="AB23" s="58">
        <v>36933</v>
      </c>
      <c r="AC23" s="58">
        <v>14748</v>
      </c>
      <c r="AD23" s="58">
        <v>2502</v>
      </c>
      <c r="AE23" s="58"/>
      <c r="AF23" s="58"/>
      <c r="AG23" s="58"/>
      <c r="AH23" s="58"/>
      <c r="AI23" s="58"/>
      <c r="AJ23" s="58"/>
      <c r="AK23" s="58"/>
      <c r="AL23" s="58"/>
      <c r="AM23" s="161"/>
      <c r="AN23" s="58">
        <v>7992</v>
      </c>
      <c r="AO23" s="58"/>
      <c r="AP23" s="58"/>
      <c r="AQ23" s="58">
        <v>693</v>
      </c>
      <c r="AR23" s="81"/>
      <c r="AS23" s="243" t="s">
        <v>268</v>
      </c>
      <c r="AT23" s="58"/>
      <c r="AU23" s="58">
        <v>1865</v>
      </c>
      <c r="AV23" s="58">
        <v>14440</v>
      </c>
      <c r="AW23" s="58"/>
      <c r="AX23" s="58"/>
      <c r="AY23" s="58">
        <v>306.64</v>
      </c>
      <c r="AZ23" s="58"/>
      <c r="BA23" s="58">
        <v>20907</v>
      </c>
      <c r="BB23" s="58">
        <v>650.53</v>
      </c>
      <c r="BC23" s="58"/>
      <c r="BD23" s="58"/>
      <c r="BE23" s="58"/>
      <c r="BF23" s="58"/>
      <c r="BG23" s="58"/>
      <c r="BH23" s="58"/>
      <c r="BI23" s="58">
        <f>X23+Y23+Z23+AA23+AB23+AC23+AD23+AM23+AN23+AO23+AP23+AQ23+AT23+AU23+AV23+AW23+AX23+AY23+AZ23+BA23+BB23+BC23+BD23+BE23+BF23+BG23+BH23+AR23</f>
        <v>1418628.17</v>
      </c>
      <c r="BJ23" s="55">
        <f>ROUND(BI23/E23,2)</f>
        <v>2364.38</v>
      </c>
      <c r="BK23" s="81">
        <f>X23+Z23</f>
        <v>1011974</v>
      </c>
      <c r="BL23" s="81">
        <f>Y23+AA23</f>
        <v>305617</v>
      </c>
      <c r="BM23" s="81">
        <f>AB23+AC23+AD23</f>
        <v>54183</v>
      </c>
      <c r="BN23" s="81">
        <f>BG23</f>
        <v>0</v>
      </c>
      <c r="BO23" s="81">
        <f>BH23+AM23+AN23+AO23+AP23+AQ23+AR23+AT23+AU23+AV23+AW23+AX23+AY23+AZ23+BA23+BB23+BC23+BD23+BE23</f>
        <v>46854.17</v>
      </c>
      <c r="BP23" s="58">
        <f>BK23+BL23+BM23+BN23+BO23</f>
        <v>1418628.17</v>
      </c>
    </row>
    <row r="26" spans="1:68">
      <c r="BK26" s="562"/>
      <c r="BL26" s="562"/>
      <c r="BM26" s="562"/>
      <c r="BN26" s="562"/>
      <c r="BO26" s="562"/>
      <c r="BP26" s="562"/>
    </row>
  </sheetData>
  <mergeCells count="89">
    <mergeCell ref="C16:V16"/>
    <mergeCell ref="E6:E11"/>
    <mergeCell ref="F6:F11"/>
    <mergeCell ref="G6:G11"/>
    <mergeCell ref="I10:I11"/>
    <mergeCell ref="Q8:Q11"/>
    <mergeCell ref="R8:R11"/>
    <mergeCell ref="I7:R7"/>
    <mergeCell ref="U8:U11"/>
    <mergeCell ref="H6:H11"/>
    <mergeCell ref="I6:R6"/>
    <mergeCell ref="J10:J11"/>
    <mergeCell ref="L8:L11"/>
    <mergeCell ref="M8:M11"/>
    <mergeCell ref="N8:N11"/>
    <mergeCell ref="P8:P11"/>
    <mergeCell ref="C22:W22"/>
    <mergeCell ref="C19:W19"/>
    <mergeCell ref="A20:A21"/>
    <mergeCell ref="B20:B21"/>
    <mergeCell ref="C20:C21"/>
    <mergeCell ref="D20:D21"/>
    <mergeCell ref="A13:A14"/>
    <mergeCell ref="B13:B14"/>
    <mergeCell ref="C13:C14"/>
    <mergeCell ref="D13:D14"/>
    <mergeCell ref="C12:U12"/>
    <mergeCell ref="BK7:BP7"/>
    <mergeCell ref="AN8:AR8"/>
    <mergeCell ref="AT8:AZ8"/>
    <mergeCell ref="BA8:BD8"/>
    <mergeCell ref="BE8:BE9"/>
    <mergeCell ref="BN8:BN11"/>
    <mergeCell ref="BK8:BK11"/>
    <mergeCell ref="BO8:BO11"/>
    <mergeCell ref="BL8:BL11"/>
    <mergeCell ref="BM8:BM11"/>
    <mergeCell ref="BE10:BE11"/>
    <mergeCell ref="BF7:BF11"/>
    <mergeCell ref="W6:W11"/>
    <mergeCell ref="A6:A11"/>
    <mergeCell ref="B6:B11"/>
    <mergeCell ref="C6:C11"/>
    <mergeCell ref="D6:D11"/>
    <mergeCell ref="BP8:BP11"/>
    <mergeCell ref="I1:V1"/>
    <mergeCell ref="C3:V3"/>
    <mergeCell ref="C4:V4"/>
    <mergeCell ref="C5:V5"/>
    <mergeCell ref="C2:V2"/>
    <mergeCell ref="AB7:AR7"/>
    <mergeCell ref="AS7:AS11"/>
    <mergeCell ref="AT7:AZ7"/>
    <mergeCell ref="BK6:BP6"/>
    <mergeCell ref="BJ7:BJ11"/>
    <mergeCell ref="AT9:AX9"/>
    <mergeCell ref="BG7:BG11"/>
    <mergeCell ref="BH7:BH11"/>
    <mergeCell ref="AB9:AD10"/>
    <mergeCell ref="BI7:BI11"/>
    <mergeCell ref="AY10:AY11"/>
    <mergeCell ref="BA7:BE7"/>
    <mergeCell ref="AE8:AM8"/>
    <mergeCell ref="BA10:BA11"/>
    <mergeCell ref="AU10:AU11"/>
    <mergeCell ref="AE9:AM10"/>
    <mergeCell ref="AN9:AR10"/>
    <mergeCell ref="AV10:AX10"/>
    <mergeCell ref="AT10:AT11"/>
    <mergeCell ref="BB10:BB11"/>
    <mergeCell ref="AZ10:AZ11"/>
    <mergeCell ref="BC9:BD9"/>
    <mergeCell ref="BC10:BD11"/>
    <mergeCell ref="I8:K8"/>
    <mergeCell ref="X8:AA8"/>
    <mergeCell ref="AB8:AD8"/>
    <mergeCell ref="X7:AA7"/>
    <mergeCell ref="K10:K11"/>
    <mergeCell ref="I9:K9"/>
    <mergeCell ref="S6:S11"/>
    <mergeCell ref="O8:O11"/>
    <mergeCell ref="X6:BJ6"/>
    <mergeCell ref="T6:U7"/>
    <mergeCell ref="AA9:AA11"/>
    <mergeCell ref="V6:V11"/>
    <mergeCell ref="X9:X11"/>
    <mergeCell ref="Y9:Y11"/>
    <mergeCell ref="Z9:Z11"/>
    <mergeCell ref="T8:T11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0">
    <tabColor rgb="FFFF0000"/>
  </sheetPr>
  <dimension ref="A1:BP25"/>
  <sheetViews>
    <sheetView topLeftCell="AD1" zoomScale="80" zoomScaleNormal="80" workbookViewId="0">
      <pane ySplit="10" topLeftCell="A11" activePane="bottomLeft" state="frozen"/>
      <selection pane="bottomLeft" activeCell="BJ14" sqref="BJ14"/>
    </sheetView>
  </sheetViews>
  <sheetFormatPr defaultRowHeight="12.75"/>
  <cols>
    <col min="1" max="1" width="33.85546875" style="3" customWidth="1"/>
    <col min="2" max="2" width="13" style="3" customWidth="1"/>
    <col min="3" max="3" width="7.85546875" style="3" customWidth="1"/>
    <col min="4" max="4" width="18.85546875" style="3" customWidth="1"/>
    <col min="5" max="5" width="10.85546875" style="3" customWidth="1"/>
    <col min="6" max="6" width="9.42578125" style="3" customWidth="1"/>
    <col min="7" max="7" width="10" style="3" customWidth="1"/>
    <col min="8" max="8" width="8.7109375" style="3" customWidth="1"/>
    <col min="9" max="9" width="9.42578125" style="3" customWidth="1"/>
    <col min="10" max="11" width="11.5703125" style="3" customWidth="1"/>
    <col min="12" max="14" width="9" style="3" customWidth="1"/>
    <col min="15" max="17" width="10.85546875" style="3" customWidth="1"/>
    <col min="18" max="18" width="10.7109375" style="3" customWidth="1"/>
    <col min="19" max="19" width="24" style="3" customWidth="1"/>
    <col min="20" max="20" width="14.7109375" style="17" customWidth="1"/>
    <col min="21" max="21" width="13.85546875" style="17" customWidth="1"/>
    <col min="22" max="22" width="12.7109375" style="17" customWidth="1"/>
    <col min="23" max="23" width="13.42578125" style="17" customWidth="1"/>
    <col min="24" max="24" width="13.140625" style="17" customWidth="1"/>
    <col min="25" max="25" width="14.140625" style="17" customWidth="1"/>
    <col min="26" max="26" width="12.85546875" style="17" customWidth="1"/>
    <col min="27" max="27" width="11.42578125" style="17" customWidth="1"/>
    <col min="28" max="28" width="5.7109375" style="17" customWidth="1"/>
    <col min="29" max="29" width="10" style="17" customWidth="1"/>
    <col min="30" max="30" width="7.85546875" style="17" customWidth="1"/>
    <col min="31" max="31" width="7.5703125" style="17" customWidth="1"/>
    <col min="32" max="32" width="10.85546875" style="17" customWidth="1"/>
    <col min="33" max="33" width="10.140625" style="17" customWidth="1"/>
    <col min="34" max="34" width="11.28515625" style="17" customWidth="1"/>
    <col min="35" max="35" width="13.140625" style="17" customWidth="1"/>
    <col min="36" max="36" width="11.85546875" style="17" customWidth="1"/>
    <col min="37" max="37" width="11.42578125" style="17" customWidth="1"/>
    <col min="38" max="38" width="5.140625" style="17" hidden="1" customWidth="1"/>
    <col min="39" max="39" width="12.28515625" style="17" customWidth="1"/>
    <col min="40" max="40" width="10" style="17" customWidth="1"/>
    <col min="41" max="41" width="9.7109375" style="17" customWidth="1"/>
    <col min="42" max="42" width="17.42578125" style="3" customWidth="1"/>
    <col min="43" max="43" width="9.42578125" style="17" customWidth="1"/>
    <col min="44" max="44" width="11" style="17" customWidth="1"/>
    <col min="45" max="45" width="12.28515625" style="17" customWidth="1"/>
    <col min="46" max="46" width="6.85546875" style="17" customWidth="1"/>
    <col min="47" max="47" width="5.5703125" style="17" hidden="1" customWidth="1"/>
    <col min="48" max="48" width="10.5703125" style="17" customWidth="1"/>
    <col min="49" max="49" width="6.28515625" style="17" hidden="1" customWidth="1"/>
    <col min="50" max="50" width="13.5703125" style="17" customWidth="1"/>
    <col min="51" max="51" width="8.7109375" style="5" customWidth="1"/>
    <col min="52" max="53" width="9.28515625" style="5" hidden="1" customWidth="1"/>
    <col min="54" max="54" width="7.42578125" style="5" hidden="1" customWidth="1"/>
    <col min="55" max="55" width="9.28515625" style="5" hidden="1" customWidth="1"/>
    <col min="56" max="56" width="10.42578125" style="5" hidden="1" customWidth="1"/>
    <col min="57" max="57" width="7.42578125" style="5" customWidth="1"/>
    <col min="58" max="58" width="15.7109375" style="18" customWidth="1"/>
    <col min="59" max="59" width="11.42578125" style="16" hidden="1" customWidth="1"/>
    <col min="60" max="60" width="9.140625" style="16" hidden="1" customWidth="1"/>
    <col min="61" max="61" width="11" style="16" customWidth="1"/>
    <col min="62" max="62" width="13.85546875" customWidth="1"/>
    <col min="63" max="63" width="14.28515625" customWidth="1"/>
    <col min="64" max="64" width="14.5703125" customWidth="1"/>
    <col min="65" max="65" width="6.7109375" customWidth="1"/>
    <col min="66" max="66" width="12.42578125" customWidth="1"/>
    <col min="67" max="67" width="15.42578125" customWidth="1"/>
  </cols>
  <sheetData>
    <row r="1" spans="1:68" ht="25.5" customHeight="1">
      <c r="A1" s="686" t="s">
        <v>410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AF1" s="769"/>
      <c r="AG1" s="769"/>
      <c r="AH1" s="769"/>
      <c r="AI1" s="769"/>
      <c r="AJ1" s="719"/>
      <c r="BB1" s="769"/>
      <c r="BC1" s="719"/>
      <c r="BD1" s="719"/>
      <c r="BE1" s="719"/>
      <c r="BF1" s="719"/>
      <c r="BG1" s="719"/>
      <c r="BH1" s="719"/>
    </row>
    <row r="3" spans="1:68" ht="21" customHeight="1">
      <c r="A3" s="930" t="s">
        <v>300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</row>
    <row r="4" spans="1:68" ht="31.5" customHeight="1">
      <c r="A4" s="711" t="s">
        <v>301</v>
      </c>
      <c r="B4" s="711" t="s">
        <v>2</v>
      </c>
      <c r="C4" s="711" t="s">
        <v>285</v>
      </c>
      <c r="D4" s="731" t="s">
        <v>68</v>
      </c>
      <c r="E4" s="722" t="s">
        <v>287</v>
      </c>
      <c r="F4" s="723"/>
      <c r="G4" s="723"/>
      <c r="H4" s="723"/>
      <c r="I4" s="723"/>
      <c r="J4" s="723"/>
      <c r="K4" s="723"/>
      <c r="L4" s="723"/>
      <c r="M4" s="723"/>
      <c r="N4" s="723"/>
      <c r="O4" s="680" t="s">
        <v>55</v>
      </c>
      <c r="P4" s="680" t="s">
        <v>56</v>
      </c>
      <c r="Q4" s="712"/>
      <c r="R4" s="757" t="s">
        <v>286</v>
      </c>
      <c r="S4" s="731" t="s">
        <v>68</v>
      </c>
      <c r="T4" s="816" t="s">
        <v>60</v>
      </c>
      <c r="U4" s="816"/>
      <c r="V4" s="816"/>
      <c r="W4" s="817"/>
      <c r="X4" s="817"/>
      <c r="Y4" s="817"/>
      <c r="Z4" s="817"/>
      <c r="AA4" s="817"/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7"/>
      <c r="AY4" s="817"/>
      <c r="AZ4" s="817"/>
      <c r="BA4" s="817"/>
      <c r="BB4" s="817"/>
      <c r="BC4" s="817"/>
      <c r="BD4" s="817"/>
      <c r="BE4" s="817"/>
      <c r="BF4" s="817"/>
      <c r="BG4" s="817"/>
      <c r="BH4" s="817"/>
      <c r="BI4" s="817"/>
      <c r="BJ4" s="712"/>
      <c r="BK4" s="712"/>
      <c r="BL4" s="712"/>
      <c r="BM4" s="712"/>
      <c r="BN4" s="712"/>
      <c r="BO4" s="712"/>
    </row>
    <row r="5" spans="1:68" s="1" customFormat="1" ht="44.25" customHeight="1">
      <c r="A5" s="712"/>
      <c r="B5" s="712"/>
      <c r="C5" s="712"/>
      <c r="D5" s="712"/>
      <c r="E5" s="680" t="s">
        <v>297</v>
      </c>
      <c r="F5" s="681"/>
      <c r="G5" s="681"/>
      <c r="H5" s="681"/>
      <c r="I5" s="681"/>
      <c r="J5" s="681"/>
      <c r="K5" s="681"/>
      <c r="L5" s="681"/>
      <c r="M5" s="681"/>
      <c r="N5" s="681"/>
      <c r="O5" s="712"/>
      <c r="P5" s="712"/>
      <c r="Q5" s="712"/>
      <c r="R5" s="758"/>
      <c r="S5" s="712"/>
      <c r="T5" s="676" t="s">
        <v>62</v>
      </c>
      <c r="U5" s="676"/>
      <c r="V5" s="676"/>
      <c r="W5" s="677"/>
      <c r="X5" s="688" t="s">
        <v>8</v>
      </c>
      <c r="Y5" s="688"/>
      <c r="Z5" s="688"/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731" t="s">
        <v>68</v>
      </c>
      <c r="AQ5" s="688" t="s">
        <v>19</v>
      </c>
      <c r="AR5" s="688"/>
      <c r="AS5" s="688"/>
      <c r="AT5" s="688"/>
      <c r="AU5" s="688"/>
      <c r="AV5" s="688"/>
      <c r="AW5" s="688"/>
      <c r="AX5" s="676" t="s">
        <v>19</v>
      </c>
      <c r="AY5" s="676"/>
      <c r="AZ5" s="676"/>
      <c r="BA5" s="676"/>
      <c r="BB5" s="676"/>
      <c r="BC5" s="676" t="s">
        <v>20</v>
      </c>
      <c r="BD5" s="676" t="s">
        <v>13</v>
      </c>
      <c r="BE5" s="676" t="s">
        <v>21</v>
      </c>
      <c r="BF5" s="676" t="s">
        <v>22</v>
      </c>
      <c r="BG5" s="704" t="s">
        <v>23</v>
      </c>
      <c r="BH5" s="704" t="s">
        <v>24</v>
      </c>
      <c r="BI5" s="811" t="s">
        <v>25</v>
      </c>
      <c r="BJ5" s="815" t="s">
        <v>129</v>
      </c>
      <c r="BK5" s="815"/>
      <c r="BL5" s="815"/>
      <c r="BM5" s="815"/>
      <c r="BN5" s="815"/>
      <c r="BO5" s="815"/>
    </row>
    <row r="6" spans="1:68" s="2" customFormat="1" ht="66.75" customHeight="1">
      <c r="A6" s="712"/>
      <c r="B6" s="712"/>
      <c r="C6" s="712"/>
      <c r="D6" s="712"/>
      <c r="E6" s="680" t="s">
        <v>53</v>
      </c>
      <c r="F6" s="681"/>
      <c r="G6" s="681"/>
      <c r="H6" s="680" t="s">
        <v>27</v>
      </c>
      <c r="I6" s="680" t="s">
        <v>10</v>
      </c>
      <c r="J6" s="680" t="s">
        <v>5</v>
      </c>
      <c r="K6" s="680" t="s">
        <v>51</v>
      </c>
      <c r="L6" s="680" t="s">
        <v>20</v>
      </c>
      <c r="M6" s="680" t="s">
        <v>13</v>
      </c>
      <c r="N6" s="680" t="s">
        <v>21</v>
      </c>
      <c r="O6" s="712"/>
      <c r="P6" s="680" t="s">
        <v>16</v>
      </c>
      <c r="Q6" s="680" t="s">
        <v>52</v>
      </c>
      <c r="R6" s="758"/>
      <c r="S6" s="712"/>
      <c r="T6" s="676" t="s">
        <v>66</v>
      </c>
      <c r="U6" s="677"/>
      <c r="V6" s="677"/>
      <c r="W6" s="677"/>
      <c r="X6" s="676" t="s">
        <v>63</v>
      </c>
      <c r="Y6" s="676"/>
      <c r="Z6" s="676"/>
      <c r="AA6" s="692">
        <v>340</v>
      </c>
      <c r="AB6" s="692"/>
      <c r="AC6" s="692"/>
      <c r="AD6" s="692"/>
      <c r="AE6" s="692"/>
      <c r="AF6" s="692"/>
      <c r="AG6" s="692"/>
      <c r="AH6" s="692"/>
      <c r="AI6" s="692"/>
      <c r="AJ6" s="676" t="s">
        <v>4</v>
      </c>
      <c r="AK6" s="676"/>
      <c r="AL6" s="676"/>
      <c r="AM6" s="676"/>
      <c r="AN6" s="676"/>
      <c r="AO6" s="676"/>
      <c r="AP6" s="712"/>
      <c r="AQ6" s="676" t="s">
        <v>5</v>
      </c>
      <c r="AR6" s="676"/>
      <c r="AS6" s="676"/>
      <c r="AT6" s="676"/>
      <c r="AU6" s="676"/>
      <c r="AV6" s="676"/>
      <c r="AW6" s="676"/>
      <c r="AX6" s="676" t="s">
        <v>6</v>
      </c>
      <c r="AY6" s="717"/>
      <c r="AZ6" s="677"/>
      <c r="BA6" s="677"/>
      <c r="BB6" s="692">
        <v>290</v>
      </c>
      <c r="BC6" s="676"/>
      <c r="BD6" s="676"/>
      <c r="BE6" s="676"/>
      <c r="BF6" s="676"/>
      <c r="BG6" s="704"/>
      <c r="BH6" s="704"/>
      <c r="BI6" s="811"/>
      <c r="BJ6" s="877">
        <v>2110</v>
      </c>
      <c r="BK6" s="877">
        <v>2130</v>
      </c>
      <c r="BL6" s="877">
        <v>2230</v>
      </c>
      <c r="BM6" s="877">
        <v>7500</v>
      </c>
      <c r="BN6" s="877">
        <v>7660</v>
      </c>
      <c r="BO6" s="877" t="s">
        <v>130</v>
      </c>
    </row>
    <row r="7" spans="1:68" s="2" customFormat="1" ht="33" customHeight="1">
      <c r="A7" s="712"/>
      <c r="B7" s="712"/>
      <c r="C7" s="712"/>
      <c r="D7" s="712"/>
      <c r="E7" s="680" t="s">
        <v>26</v>
      </c>
      <c r="F7" s="680"/>
      <c r="G7" s="680"/>
      <c r="H7" s="681"/>
      <c r="I7" s="681"/>
      <c r="J7" s="681"/>
      <c r="K7" s="681"/>
      <c r="L7" s="681"/>
      <c r="M7" s="681"/>
      <c r="N7" s="681"/>
      <c r="O7" s="712"/>
      <c r="P7" s="681"/>
      <c r="Q7" s="681"/>
      <c r="R7" s="758"/>
      <c r="S7" s="712"/>
      <c r="T7" s="676" t="s">
        <v>3</v>
      </c>
      <c r="U7" s="676" t="s">
        <v>64</v>
      </c>
      <c r="V7" s="676" t="s">
        <v>12</v>
      </c>
      <c r="W7" s="676" t="s">
        <v>65</v>
      </c>
      <c r="X7" s="676" t="s">
        <v>16</v>
      </c>
      <c r="Y7" s="676"/>
      <c r="Z7" s="676"/>
      <c r="AA7" s="676" t="s">
        <v>27</v>
      </c>
      <c r="AB7" s="676"/>
      <c r="AC7" s="676"/>
      <c r="AD7" s="676"/>
      <c r="AE7" s="676"/>
      <c r="AF7" s="676"/>
      <c r="AG7" s="676"/>
      <c r="AH7" s="676"/>
      <c r="AI7" s="676"/>
      <c r="AJ7" s="676" t="s">
        <v>10</v>
      </c>
      <c r="AK7" s="676"/>
      <c r="AL7" s="676"/>
      <c r="AM7" s="676"/>
      <c r="AN7" s="676"/>
      <c r="AO7" s="676"/>
      <c r="AP7" s="712"/>
      <c r="AQ7" s="692">
        <v>225</v>
      </c>
      <c r="AR7" s="692"/>
      <c r="AS7" s="692"/>
      <c r="AT7" s="692"/>
      <c r="AU7" s="692"/>
      <c r="AV7" s="47">
        <v>290</v>
      </c>
      <c r="AW7" s="20">
        <v>224</v>
      </c>
      <c r="AX7" s="793" t="s">
        <v>329</v>
      </c>
      <c r="AY7" s="793" t="s">
        <v>33</v>
      </c>
      <c r="AZ7" s="676" t="s">
        <v>4</v>
      </c>
      <c r="BA7" s="676"/>
      <c r="BB7" s="692"/>
      <c r="BC7" s="676"/>
      <c r="BD7" s="676"/>
      <c r="BE7" s="676"/>
      <c r="BF7" s="676"/>
      <c r="BG7" s="704"/>
      <c r="BH7" s="704"/>
      <c r="BI7" s="811"/>
      <c r="BJ7" s="877"/>
      <c r="BK7" s="877"/>
      <c r="BL7" s="877"/>
      <c r="BM7" s="877"/>
      <c r="BN7" s="877"/>
      <c r="BO7" s="877"/>
    </row>
    <row r="8" spans="1:68" s="2" customFormat="1" ht="33" customHeight="1">
      <c r="A8" s="712"/>
      <c r="B8" s="712"/>
      <c r="C8" s="712"/>
      <c r="D8" s="712"/>
      <c r="E8" s="680" t="s">
        <v>3</v>
      </c>
      <c r="F8" s="680" t="s">
        <v>12</v>
      </c>
      <c r="G8" s="680" t="s">
        <v>11</v>
      </c>
      <c r="H8" s="681"/>
      <c r="I8" s="681"/>
      <c r="J8" s="681"/>
      <c r="K8" s="681"/>
      <c r="L8" s="681"/>
      <c r="M8" s="681"/>
      <c r="N8" s="681"/>
      <c r="O8" s="712"/>
      <c r="P8" s="681"/>
      <c r="Q8" s="681"/>
      <c r="R8" s="758"/>
      <c r="S8" s="712"/>
      <c r="T8" s="677"/>
      <c r="U8" s="677"/>
      <c r="V8" s="677"/>
      <c r="W8" s="677"/>
      <c r="X8" s="676"/>
      <c r="Y8" s="676"/>
      <c r="Z8" s="676"/>
      <c r="AA8" s="676"/>
      <c r="AB8" s="676"/>
      <c r="AC8" s="676"/>
      <c r="AD8" s="676"/>
      <c r="AE8" s="676"/>
      <c r="AF8" s="676"/>
      <c r="AG8" s="676"/>
      <c r="AH8" s="676"/>
      <c r="AI8" s="676"/>
      <c r="AJ8" s="676"/>
      <c r="AK8" s="676"/>
      <c r="AL8" s="676"/>
      <c r="AM8" s="676"/>
      <c r="AN8" s="676"/>
      <c r="AO8" s="676"/>
      <c r="AP8" s="712"/>
      <c r="AQ8" s="676" t="s">
        <v>28</v>
      </c>
      <c r="AR8" s="676" t="s">
        <v>29</v>
      </c>
      <c r="AS8" s="676" t="s">
        <v>122</v>
      </c>
      <c r="AT8" s="676"/>
      <c r="AU8" s="676"/>
      <c r="AV8" s="676" t="s">
        <v>31</v>
      </c>
      <c r="AW8" s="676" t="s">
        <v>139</v>
      </c>
      <c r="AX8" s="669"/>
      <c r="AY8" s="669"/>
      <c r="AZ8" s="676" t="s">
        <v>34</v>
      </c>
      <c r="BA8" s="676"/>
      <c r="BB8" s="676" t="s">
        <v>35</v>
      </c>
      <c r="BC8" s="676"/>
      <c r="BD8" s="676"/>
      <c r="BE8" s="676"/>
      <c r="BF8" s="676"/>
      <c r="BG8" s="704"/>
      <c r="BH8" s="704"/>
      <c r="BI8" s="811"/>
      <c r="BJ8" s="877"/>
      <c r="BK8" s="877"/>
      <c r="BL8" s="877"/>
      <c r="BM8" s="877"/>
      <c r="BN8" s="877"/>
      <c r="BO8" s="877"/>
    </row>
    <row r="9" spans="1:68" s="2" customFormat="1" ht="26.25" customHeight="1">
      <c r="A9" s="712"/>
      <c r="B9" s="712"/>
      <c r="C9" s="712"/>
      <c r="D9" s="712"/>
      <c r="E9" s="680"/>
      <c r="F9" s="680"/>
      <c r="G9" s="680"/>
      <c r="H9" s="681"/>
      <c r="I9" s="681"/>
      <c r="J9" s="681"/>
      <c r="K9" s="681"/>
      <c r="L9" s="681"/>
      <c r="M9" s="681"/>
      <c r="N9" s="681"/>
      <c r="O9" s="712"/>
      <c r="P9" s="681"/>
      <c r="Q9" s="681"/>
      <c r="R9" s="758"/>
      <c r="S9" s="712"/>
      <c r="T9" s="677"/>
      <c r="U9" s="677"/>
      <c r="V9" s="677"/>
      <c r="W9" s="677"/>
      <c r="X9" s="676" t="s">
        <v>9</v>
      </c>
      <c r="Y9" s="676" t="s">
        <v>17</v>
      </c>
      <c r="Z9" s="676" t="s">
        <v>18</v>
      </c>
      <c r="AA9" s="676" t="s">
        <v>36</v>
      </c>
      <c r="AB9" s="676" t="s">
        <v>37</v>
      </c>
      <c r="AC9" s="676" t="s">
        <v>38</v>
      </c>
      <c r="AD9" s="676" t="s">
        <v>39</v>
      </c>
      <c r="AE9" s="676" t="s">
        <v>40</v>
      </c>
      <c r="AF9" s="676" t="s">
        <v>14</v>
      </c>
      <c r="AG9" s="676" t="s">
        <v>41</v>
      </c>
      <c r="AH9" s="676" t="s">
        <v>352</v>
      </c>
      <c r="AI9" s="676" t="s">
        <v>42</v>
      </c>
      <c r="AJ9" s="676" t="s">
        <v>43</v>
      </c>
      <c r="AK9" s="676" t="s">
        <v>44</v>
      </c>
      <c r="AL9" s="676" t="s">
        <v>145</v>
      </c>
      <c r="AM9" s="676" t="s">
        <v>45</v>
      </c>
      <c r="AN9" s="676" t="s">
        <v>46</v>
      </c>
      <c r="AO9" s="676" t="s">
        <v>47</v>
      </c>
      <c r="AP9" s="712"/>
      <c r="AQ9" s="676"/>
      <c r="AR9" s="676"/>
      <c r="AS9" s="676" t="s">
        <v>328</v>
      </c>
      <c r="AT9" s="676" t="s">
        <v>353</v>
      </c>
      <c r="AU9" s="676" t="s">
        <v>50</v>
      </c>
      <c r="AV9" s="676"/>
      <c r="AW9" s="676"/>
      <c r="AX9" s="669"/>
      <c r="AY9" s="669"/>
      <c r="AZ9" s="676"/>
      <c r="BA9" s="676"/>
      <c r="BB9" s="676"/>
      <c r="BC9" s="676"/>
      <c r="BD9" s="676"/>
      <c r="BE9" s="676"/>
      <c r="BF9" s="676"/>
      <c r="BG9" s="704"/>
      <c r="BH9" s="704"/>
      <c r="BI9" s="811"/>
      <c r="BJ9" s="877"/>
      <c r="BK9" s="877"/>
      <c r="BL9" s="877"/>
      <c r="BM9" s="877"/>
      <c r="BN9" s="877"/>
      <c r="BO9" s="877"/>
    </row>
    <row r="10" spans="1:68" s="2" customFormat="1" ht="52.5" customHeight="1">
      <c r="A10" s="712"/>
      <c r="B10" s="712"/>
      <c r="C10" s="712"/>
      <c r="D10" s="712"/>
      <c r="E10" s="680"/>
      <c r="F10" s="680"/>
      <c r="G10" s="680"/>
      <c r="H10" s="681"/>
      <c r="I10" s="681"/>
      <c r="J10" s="681"/>
      <c r="K10" s="681"/>
      <c r="L10" s="681"/>
      <c r="M10" s="681"/>
      <c r="N10" s="681"/>
      <c r="O10" s="712"/>
      <c r="P10" s="681"/>
      <c r="Q10" s="681"/>
      <c r="R10" s="758"/>
      <c r="S10" s="712"/>
      <c r="T10" s="677"/>
      <c r="U10" s="677"/>
      <c r="V10" s="677"/>
      <c r="W10" s="677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676"/>
      <c r="AL10" s="676"/>
      <c r="AM10" s="676"/>
      <c r="AN10" s="676"/>
      <c r="AO10" s="676"/>
      <c r="AP10" s="712"/>
      <c r="AQ10" s="676"/>
      <c r="AR10" s="676"/>
      <c r="AS10" s="676"/>
      <c r="AT10" s="676"/>
      <c r="AU10" s="676"/>
      <c r="AV10" s="676"/>
      <c r="AW10" s="676"/>
      <c r="AX10" s="670"/>
      <c r="AY10" s="670"/>
      <c r="AZ10" s="676"/>
      <c r="BA10" s="676"/>
      <c r="BB10" s="676"/>
      <c r="BC10" s="676"/>
      <c r="BD10" s="676"/>
      <c r="BE10" s="676"/>
      <c r="BF10" s="676"/>
      <c r="BG10" s="704"/>
      <c r="BH10" s="704"/>
      <c r="BI10" s="811"/>
      <c r="BJ10" s="877"/>
      <c r="BK10" s="877"/>
      <c r="BL10" s="877"/>
      <c r="BM10" s="877"/>
      <c r="BN10" s="877"/>
      <c r="BO10" s="877"/>
    </row>
    <row r="11" spans="1:68" s="251" customFormat="1" ht="35.25" customHeight="1">
      <c r="A11" s="197" t="s">
        <v>156</v>
      </c>
      <c r="B11" s="197" t="s">
        <v>89</v>
      </c>
      <c r="C11" s="199">
        <f>C12+C13+C14+C15+C16+C17</f>
        <v>19285</v>
      </c>
      <c r="D11" s="35"/>
      <c r="E11" s="165">
        <f>ROUND((T11+U11)/C11,3)</f>
        <v>424.65499999999997</v>
      </c>
      <c r="F11" s="165">
        <f>ROUND((V11+W11)/C11,3)</f>
        <v>32.225999999999999</v>
      </c>
      <c r="G11" s="165">
        <f t="shared" ref="G11:G17" si="0">E11+F11</f>
        <v>456.88099999999997</v>
      </c>
      <c r="H11" s="165">
        <f>ROUND(AI11/C11,3)</f>
        <v>6.1040000000000001</v>
      </c>
      <c r="I11" s="165">
        <f>ROUND((AJ11+AK11+AM11+AN11+AO11)/C11,3)</f>
        <v>15.612</v>
      </c>
      <c r="J11" s="165">
        <f>ROUND((AQ11+AR11+AS11+AT11+AU11)/C11,3)</f>
        <v>10.776999999999999</v>
      </c>
      <c r="K11" s="165">
        <f>ROUND((AX11+AY11)/C11,3)</f>
        <v>9.5619999999999994</v>
      </c>
      <c r="L11" s="200">
        <f t="shared" ref="L11:L17" si="1">ROUND(BC11/C11,2)</f>
        <v>0</v>
      </c>
      <c r="M11" s="200">
        <f>ROUND(BD11/C11,3)</f>
        <v>0</v>
      </c>
      <c r="N11" s="200">
        <f>ROUND(BE11/C11,3)</f>
        <v>0</v>
      </c>
      <c r="O11" s="165">
        <f t="shared" ref="O11:O17" si="2">N11+M11+L11+K11+J11+I11+H11+G11</f>
        <v>498.93599999999998</v>
      </c>
      <c r="P11" s="165">
        <f>ROUND((X11+Y11+Z11)/C11,3)</f>
        <v>121.71299999999999</v>
      </c>
      <c r="Q11" s="165">
        <f>ROUND((AV11+BB11)/C11,3)</f>
        <v>0.12</v>
      </c>
      <c r="R11" s="165">
        <f t="shared" ref="R11:R17" si="3">O11+P11+Q11</f>
        <v>620.76900000000001</v>
      </c>
      <c r="S11" s="35"/>
      <c r="T11" s="67">
        <f>T12+T13+T14+T15+T16+T17</f>
        <v>6525697.8699999992</v>
      </c>
      <c r="U11" s="67">
        <f t="shared" ref="U11:AM11" si="4">U12+U13+U14+U15+U16+U17</f>
        <v>1663768.7899999998</v>
      </c>
      <c r="V11" s="67">
        <f t="shared" si="4"/>
        <v>496412.5</v>
      </c>
      <c r="W11" s="67">
        <f t="shared" si="4"/>
        <v>125074.1</v>
      </c>
      <c r="X11" s="67">
        <f t="shared" si="4"/>
        <v>876623</v>
      </c>
      <c r="Y11" s="67">
        <f t="shared" si="4"/>
        <v>1171491</v>
      </c>
      <c r="Z11" s="67">
        <f t="shared" si="4"/>
        <v>299126</v>
      </c>
      <c r="AA11" s="67">
        <f t="shared" si="4"/>
        <v>22248</v>
      </c>
      <c r="AB11" s="67">
        <f t="shared" si="4"/>
        <v>0</v>
      </c>
      <c r="AC11" s="67">
        <f t="shared" si="4"/>
        <v>1232</v>
      </c>
      <c r="AD11" s="67">
        <f t="shared" si="4"/>
        <v>0</v>
      </c>
      <c r="AE11" s="67">
        <f t="shared" si="4"/>
        <v>0</v>
      </c>
      <c r="AF11" s="67">
        <f t="shared" si="4"/>
        <v>64170</v>
      </c>
      <c r="AG11" s="67">
        <f t="shared" si="4"/>
        <v>9505.6</v>
      </c>
      <c r="AH11" s="67">
        <f t="shared" si="4"/>
        <v>20560</v>
      </c>
      <c r="AI11" s="67">
        <f t="shared" si="4"/>
        <v>117715.6</v>
      </c>
      <c r="AJ11" s="165">
        <f t="shared" si="4"/>
        <v>6228</v>
      </c>
      <c r="AK11" s="165">
        <f t="shared" si="4"/>
        <v>56529</v>
      </c>
      <c r="AL11" s="165">
        <f t="shared" si="4"/>
        <v>0</v>
      </c>
      <c r="AM11" s="165">
        <f t="shared" si="4"/>
        <v>227883</v>
      </c>
      <c r="AN11" s="165">
        <f>AN12+AN13+AN14</f>
        <v>6442</v>
      </c>
      <c r="AO11" s="165">
        <f>AO12+AO13+AO14</f>
        <v>4000</v>
      </c>
      <c r="AP11" s="165"/>
      <c r="AQ11" s="67">
        <f t="shared" ref="AQ11:BH11" si="5">AQ12+AQ13+AQ14+AQ15+AQ16+AQ17</f>
        <v>5856</v>
      </c>
      <c r="AR11" s="67">
        <f t="shared" si="5"/>
        <v>11796</v>
      </c>
      <c r="AS11" s="67">
        <f t="shared" si="5"/>
        <v>190185</v>
      </c>
      <c r="AT11" s="67">
        <f t="shared" si="5"/>
        <v>0</v>
      </c>
      <c r="AU11" s="67">
        <f t="shared" si="5"/>
        <v>0</v>
      </c>
      <c r="AV11" s="67">
        <f t="shared" si="5"/>
        <v>2320</v>
      </c>
      <c r="AW11" s="67">
        <f t="shared" si="5"/>
        <v>0</v>
      </c>
      <c r="AX11" s="67">
        <f t="shared" si="5"/>
        <v>183512</v>
      </c>
      <c r="AY11" s="67">
        <f t="shared" si="5"/>
        <v>886</v>
      </c>
      <c r="AZ11" s="67">
        <f t="shared" si="5"/>
        <v>0</v>
      </c>
      <c r="BA11" s="67">
        <f t="shared" si="5"/>
        <v>0</v>
      </c>
      <c r="BB11" s="67">
        <f t="shared" si="5"/>
        <v>0</v>
      </c>
      <c r="BC11" s="67">
        <f t="shared" si="5"/>
        <v>0</v>
      </c>
      <c r="BD11" s="67">
        <f t="shared" si="5"/>
        <v>0</v>
      </c>
      <c r="BE11" s="67">
        <f t="shared" si="5"/>
        <v>0</v>
      </c>
      <c r="BF11" s="67">
        <f t="shared" si="5"/>
        <v>11971545.859999999</v>
      </c>
      <c r="BG11" s="165">
        <f t="shared" si="5"/>
        <v>0</v>
      </c>
      <c r="BH11" s="165">
        <f t="shared" si="5"/>
        <v>0</v>
      </c>
      <c r="BI11" s="165">
        <f t="shared" ref="BI11:BI16" si="6">ROUND(BF11/C11,2)</f>
        <v>620.77</v>
      </c>
      <c r="BJ11" s="67">
        <f t="shared" ref="BJ11:BO11" si="7">BJ12+BJ13+BJ14+BJ15+BJ16+BJ17</f>
        <v>7022110.3699999992</v>
      </c>
      <c r="BK11" s="67">
        <f t="shared" si="7"/>
        <v>1788842.89</v>
      </c>
      <c r="BL11" s="67">
        <f t="shared" si="7"/>
        <v>2347240</v>
      </c>
      <c r="BM11" s="67">
        <f t="shared" si="7"/>
        <v>0</v>
      </c>
      <c r="BN11" s="67">
        <f t="shared" si="7"/>
        <v>813352.6</v>
      </c>
      <c r="BO11" s="67">
        <f t="shared" si="7"/>
        <v>11971545.859999999</v>
      </c>
    </row>
    <row r="12" spans="1:68" s="1" customFormat="1" ht="72" customHeight="1">
      <c r="A12" s="931" t="s">
        <v>154</v>
      </c>
      <c r="B12" s="917" t="s">
        <v>155</v>
      </c>
      <c r="C12" s="599">
        <v>6930</v>
      </c>
      <c r="D12" s="28" t="s">
        <v>77</v>
      </c>
      <c r="E12" s="8">
        <f>ROUND((T12+U12)/C12,3)</f>
        <v>439.69299999999998</v>
      </c>
      <c r="F12" s="8">
        <f>ROUND((V12+W12)/C12,3)</f>
        <v>33.165999999999997</v>
      </c>
      <c r="G12" s="8">
        <f>E12+F12</f>
        <v>472.85899999999998</v>
      </c>
      <c r="H12" s="8">
        <f>ROUND(AI12/C12,3)</f>
        <v>7.077</v>
      </c>
      <c r="I12" s="8">
        <f>ROUND((AJ12+AK12+AM12+AN12+AO12)/C12,3)</f>
        <v>4.8970000000000002</v>
      </c>
      <c r="J12" s="8">
        <f>ROUND((AQ12+AR12+AS12+AT12+AU12)/C12,3)</f>
        <v>5.4470000000000001</v>
      </c>
      <c r="K12" s="8">
        <f>ROUND((AX12+AY12)/C12,3)</f>
        <v>2.2120000000000002</v>
      </c>
      <c r="L12" s="11">
        <f>ROUND(BC12/C12,2)</f>
        <v>0</v>
      </c>
      <c r="M12" s="11">
        <f>ROUND(BD12/C12,2)</f>
        <v>0</v>
      </c>
      <c r="N12" s="11">
        <f t="shared" ref="N12:N17" si="8">ROUND(BE12/C12,2)</f>
        <v>0</v>
      </c>
      <c r="O12" s="8">
        <f>N12+M12+L12+K12+J12+I12+H12+G12</f>
        <v>492.49199999999996</v>
      </c>
      <c r="P12" s="8">
        <f>ROUND((X12+Y12+Z12)/C12,3)</f>
        <v>59.186999999999998</v>
      </c>
      <c r="Q12" s="8">
        <f>ROUND(AV12/C12,3)</f>
        <v>0.33500000000000002</v>
      </c>
      <c r="R12" s="14">
        <f t="shared" si="3"/>
        <v>552.01400000000001</v>
      </c>
      <c r="S12" s="28" t="s">
        <v>77</v>
      </c>
      <c r="T12" s="15">
        <f>2788206.75-195608</f>
        <v>2592598.75</v>
      </c>
      <c r="U12" s="15">
        <v>454476</v>
      </c>
      <c r="V12" s="15">
        <v>195608</v>
      </c>
      <c r="W12" s="15">
        <f>ROUND(V12*0.175,0)</f>
        <v>34231</v>
      </c>
      <c r="X12" s="15">
        <v>150000</v>
      </c>
      <c r="Y12" s="15">
        <v>243460</v>
      </c>
      <c r="Z12" s="15">
        <v>16703</v>
      </c>
      <c r="AA12" s="15">
        <v>4392</v>
      </c>
      <c r="AB12" s="15"/>
      <c r="AC12" s="15">
        <v>732</v>
      </c>
      <c r="AD12" s="15"/>
      <c r="AE12" s="15"/>
      <c r="AF12" s="15">
        <v>43920</v>
      </c>
      <c r="AG12" s="15"/>
      <c r="AH12" s="15"/>
      <c r="AI12" s="15">
        <f t="shared" ref="AI12:AI17" si="9">AA12+AB12+AC12+AD12+AE12+AF12+AH12+AG12</f>
        <v>49044</v>
      </c>
      <c r="AJ12" s="15">
        <v>2928</v>
      </c>
      <c r="AK12" s="15"/>
      <c r="AL12" s="15"/>
      <c r="AM12" s="15">
        <v>24566</v>
      </c>
      <c r="AN12" s="8">
        <v>6442</v>
      </c>
      <c r="AO12" s="8"/>
      <c r="AP12" s="304" t="s">
        <v>77</v>
      </c>
      <c r="AQ12" s="15">
        <v>5856</v>
      </c>
      <c r="AR12" s="15">
        <v>9693</v>
      </c>
      <c r="AS12" s="15">
        <v>22199</v>
      </c>
      <c r="AT12" s="15"/>
      <c r="AU12" s="15"/>
      <c r="AV12" s="15">
        <v>2320</v>
      </c>
      <c r="AW12" s="15"/>
      <c r="AX12" s="15">
        <v>14445</v>
      </c>
      <c r="AY12" s="15">
        <v>886</v>
      </c>
      <c r="AZ12" s="15"/>
      <c r="BA12" s="15"/>
      <c r="BB12" s="15"/>
      <c r="BC12" s="15"/>
      <c r="BD12" s="15"/>
      <c r="BE12" s="15"/>
      <c r="BF12" s="15">
        <f>T12+U12+V12+W12+X12+Y12+Z12+AI12+AJ12+AK12+AM12+AN12+AQ12+AR12+AS12+AT12+AU12+AV12+AW12+AX12+AY12+AZ12+BA12+BB12+BC12+BD12+BE12</f>
        <v>3825455.75</v>
      </c>
      <c r="BG12" s="8"/>
      <c r="BH12" s="8"/>
      <c r="BI12" s="30">
        <f t="shared" si="6"/>
        <v>552.01</v>
      </c>
      <c r="BJ12" s="81">
        <f t="shared" ref="BJ12:BK15" si="10">T12+V12</f>
        <v>2788206.75</v>
      </c>
      <c r="BK12" s="81">
        <f t="shared" si="10"/>
        <v>488707</v>
      </c>
      <c r="BL12" s="81">
        <f t="shared" ref="BL12:BL17" si="11">X12+Y12+Z12</f>
        <v>410163</v>
      </c>
      <c r="BM12" s="58">
        <f t="shared" ref="BM12:BM17" si="12">BD12</f>
        <v>0</v>
      </c>
      <c r="BN12" s="58">
        <f>AI12+AJ12+AK12+AL12+AM12+AN12+AO12+AQ12+AR12+AS12+AT12+AU12+AV12+AX12+AY12</f>
        <v>138379</v>
      </c>
      <c r="BO12" s="58">
        <f t="shared" ref="BO12:BO17" si="13">BJ12+BK12+BL12+BM12+BN12</f>
        <v>3825455.75</v>
      </c>
    </row>
    <row r="13" spans="1:68" ht="65.25" customHeight="1">
      <c r="A13" s="932"/>
      <c r="B13" s="932"/>
      <c r="C13" s="600">
        <v>1801</v>
      </c>
      <c r="D13" s="28" t="s">
        <v>78</v>
      </c>
      <c r="E13" s="8">
        <f>ROUND((T13+U13)/C13,3)</f>
        <v>262.47500000000002</v>
      </c>
      <c r="F13" s="8">
        <f>ROUND((V13+W13)/C13,3)</f>
        <v>0</v>
      </c>
      <c r="G13" s="8">
        <f t="shared" si="0"/>
        <v>262.47500000000002</v>
      </c>
      <c r="H13" s="8">
        <f>ROUND(AI13/C13,3)</f>
        <v>2.617</v>
      </c>
      <c r="I13" s="8">
        <f>ROUND((AJ13+AK13+AM13+AN13+AO13)/C13,3)</f>
        <v>11.558999999999999</v>
      </c>
      <c r="J13" s="8">
        <f>ROUND((AQ13+AR13+AS13+AT13+AU13)/C13,3)</f>
        <v>0</v>
      </c>
      <c r="K13" s="8">
        <f>ROUND((AX13+AY13)/C13,3)</f>
        <v>0</v>
      </c>
      <c r="L13" s="11">
        <f t="shared" si="1"/>
        <v>0</v>
      </c>
      <c r="M13" s="11">
        <f>ROUND(BD13/C13,2)</f>
        <v>0</v>
      </c>
      <c r="N13" s="11">
        <f t="shared" si="8"/>
        <v>0</v>
      </c>
      <c r="O13" s="8">
        <f t="shared" si="2"/>
        <v>276.65100000000001</v>
      </c>
      <c r="P13" s="8">
        <f>ROUND((X13+Y13+Z13)/C13,3)</f>
        <v>322.05900000000003</v>
      </c>
      <c r="Q13" s="8">
        <f>ROUND(AV13/C13,2)</f>
        <v>0</v>
      </c>
      <c r="R13" s="14">
        <f t="shared" si="3"/>
        <v>598.71</v>
      </c>
      <c r="S13" s="28" t="s">
        <v>78</v>
      </c>
      <c r="T13" s="15">
        <v>363087.72</v>
      </c>
      <c r="U13" s="15">
        <v>109629.69</v>
      </c>
      <c r="V13" s="15"/>
      <c r="W13" s="15"/>
      <c r="X13" s="15">
        <v>333201</v>
      </c>
      <c r="Y13" s="15">
        <v>58728</v>
      </c>
      <c r="Z13" s="15">
        <v>188100</v>
      </c>
      <c r="AA13" s="15">
        <v>4714</v>
      </c>
      <c r="AB13" s="15"/>
      <c r="AC13" s="15"/>
      <c r="AD13" s="15"/>
      <c r="AE13" s="15"/>
      <c r="AF13" s="15"/>
      <c r="AG13" s="15"/>
      <c r="AH13" s="15"/>
      <c r="AI13" s="15">
        <f t="shared" si="9"/>
        <v>4714</v>
      </c>
      <c r="AJ13" s="15"/>
      <c r="AK13" s="15"/>
      <c r="AL13" s="15"/>
      <c r="AM13" s="15">
        <v>20817</v>
      </c>
      <c r="AN13" s="8"/>
      <c r="AO13" s="8"/>
      <c r="AP13" s="304" t="s">
        <v>78</v>
      </c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>
        <f>T13+U13+V13+W13+X13+Y13+Z13+AI13+AJ13+AK13+AM13+AN13+AQ13+AR13+AS13+AT13+AU13+AV13+AW13+AX13+AY13+AZ13+BA13+BB13+BC13+BD13+BE13</f>
        <v>1078277.4099999999</v>
      </c>
      <c r="BG13" s="8"/>
      <c r="BH13" s="8"/>
      <c r="BI13" s="30">
        <f t="shared" si="6"/>
        <v>598.71</v>
      </c>
      <c r="BJ13" s="81">
        <f t="shared" si="10"/>
        <v>363087.72</v>
      </c>
      <c r="BK13" s="58">
        <f t="shared" si="10"/>
        <v>109629.69</v>
      </c>
      <c r="BL13" s="81">
        <f t="shared" si="11"/>
        <v>580029</v>
      </c>
      <c r="BM13" s="58">
        <f t="shared" si="12"/>
        <v>0</v>
      </c>
      <c r="BN13" s="58">
        <f>AI13+AJ13+AK13+AM13+AN13+AR13+AS13+AT13+AU13+AV13+AW13+AX13+AY13+BB13+BE13</f>
        <v>25531</v>
      </c>
      <c r="BO13" s="58">
        <f t="shared" si="13"/>
        <v>1078277.4099999999</v>
      </c>
      <c r="BP13" s="1"/>
    </row>
    <row r="14" spans="1:68" ht="81.75" customHeight="1">
      <c r="A14" s="932"/>
      <c r="B14" s="932"/>
      <c r="C14" s="64">
        <v>4234</v>
      </c>
      <c r="D14" s="84" t="s">
        <v>88</v>
      </c>
      <c r="E14" s="8">
        <f>ROUND((T14+U14)/C14,3)</f>
        <v>360.35199999999998</v>
      </c>
      <c r="F14" s="8">
        <f>ROUND((V14+W14)/C14,2)</f>
        <v>0</v>
      </c>
      <c r="G14" s="8">
        <f t="shared" si="0"/>
        <v>360.35199999999998</v>
      </c>
      <c r="H14" s="8">
        <f>ROUND(AI14/C14,3)</f>
        <v>5.6680000000000001</v>
      </c>
      <c r="I14" s="8">
        <f>ROUND((AJ14+AK14+AM14+AN14+AO14+AL14)/C14,32)</f>
        <v>9.75436939064714</v>
      </c>
      <c r="J14" s="8">
        <f>ROUND((AQ14+AR14+AS14+AT14+AU14)/C14,3)</f>
        <v>40.171999999999997</v>
      </c>
      <c r="K14" s="8">
        <f>ROUND((AX14+AY14)/C14,3)</f>
        <v>25.763000000000002</v>
      </c>
      <c r="L14" s="11">
        <f t="shared" si="1"/>
        <v>0</v>
      </c>
      <c r="M14" s="11">
        <f>ROUND(BD14/C14,2)</f>
        <v>0</v>
      </c>
      <c r="N14" s="11">
        <f t="shared" si="8"/>
        <v>0</v>
      </c>
      <c r="O14" s="8">
        <f t="shared" si="2"/>
        <v>441.70936939064711</v>
      </c>
      <c r="P14" s="8">
        <f>ROUND((X14+Y14+Z14)/C14,3)</f>
        <v>250.654</v>
      </c>
      <c r="Q14" s="8">
        <f>ROUND(AV14/C14,2)</f>
        <v>0</v>
      </c>
      <c r="R14" s="14">
        <f t="shared" si="3"/>
        <v>692.36336939064711</v>
      </c>
      <c r="S14" s="28" t="s">
        <v>88</v>
      </c>
      <c r="T14" s="15">
        <v>1160730.3999999999</v>
      </c>
      <c r="U14" s="15">
        <v>364999.21</v>
      </c>
      <c r="V14" s="15"/>
      <c r="W14" s="15"/>
      <c r="X14" s="15">
        <v>327407</v>
      </c>
      <c r="Y14" s="15">
        <v>671753</v>
      </c>
      <c r="Z14" s="15">
        <v>62111</v>
      </c>
      <c r="AA14" s="15">
        <v>3440</v>
      </c>
      <c r="AB14" s="15"/>
      <c r="AC14" s="15"/>
      <c r="AD14" s="15"/>
      <c r="AE14" s="15"/>
      <c r="AF14" s="15"/>
      <c r="AG14" s="15"/>
      <c r="AH14" s="15">
        <f>24000-AA14</f>
        <v>20560</v>
      </c>
      <c r="AI14" s="15">
        <f t="shared" si="9"/>
        <v>24000</v>
      </c>
      <c r="AJ14" s="15">
        <v>3300</v>
      </c>
      <c r="AK14" s="15"/>
      <c r="AL14" s="15"/>
      <c r="AM14" s="15">
        <v>34000</v>
      </c>
      <c r="AN14" s="8">
        <v>0</v>
      </c>
      <c r="AO14" s="8">
        <v>4000</v>
      </c>
      <c r="AP14" s="304" t="s">
        <v>88</v>
      </c>
      <c r="AQ14" s="15"/>
      <c r="AR14" s="15">
        <v>2103</v>
      </c>
      <c r="AS14" s="15">
        <v>167986</v>
      </c>
      <c r="AT14" s="15"/>
      <c r="AU14" s="15"/>
      <c r="AV14" s="15"/>
      <c r="AW14" s="15"/>
      <c r="AX14" s="15">
        <v>109082</v>
      </c>
      <c r="AY14" s="15"/>
      <c r="AZ14" s="15"/>
      <c r="BA14" s="15"/>
      <c r="BB14" s="15"/>
      <c r="BC14" s="15"/>
      <c r="BD14" s="15"/>
      <c r="BE14" s="15"/>
      <c r="BF14" s="15">
        <f>T14+U14+V14+W14+X14+Y14+Z14+AI14+AJ14+AK14+AM14+AN14+AQ14+AR14+AS14+AT14+AU14+AV14+AW14+AX14+AY14+AZ14+BA14+BB14+BC14+BD14+BE14+AO14</f>
        <v>2931471.61</v>
      </c>
      <c r="BG14" s="8"/>
      <c r="BH14" s="8"/>
      <c r="BI14" s="30">
        <f t="shared" si="6"/>
        <v>692.36</v>
      </c>
      <c r="BJ14" s="58">
        <f t="shared" si="10"/>
        <v>1160730.3999999999</v>
      </c>
      <c r="BK14" s="58">
        <f t="shared" si="10"/>
        <v>364999.21</v>
      </c>
      <c r="BL14" s="58">
        <f t="shared" si="11"/>
        <v>1061271</v>
      </c>
      <c r="BM14" s="58">
        <f t="shared" si="12"/>
        <v>0</v>
      </c>
      <c r="BN14" s="320">
        <f>AI14+AJ14+AK14+AM14+AN14+AR14+AS14+AT14+AU14+AV14+AW14+AX14+AY14+BB14+BE14+AO14</f>
        <v>344471</v>
      </c>
      <c r="BO14" s="58">
        <f t="shared" si="13"/>
        <v>2931471.61</v>
      </c>
      <c r="BP14" s="1"/>
    </row>
    <row r="15" spans="1:68" ht="78.75" customHeight="1">
      <c r="A15" s="932"/>
      <c r="B15" s="932"/>
      <c r="C15" s="160">
        <v>3600</v>
      </c>
      <c r="D15" s="84" t="s">
        <v>90</v>
      </c>
      <c r="E15" s="15">
        <f>ROUND((T15+U15)/C15,3)</f>
        <v>632.06100000000004</v>
      </c>
      <c r="F15" s="15">
        <f>ROUND((V15+W15)/C15,3)</f>
        <v>108.791</v>
      </c>
      <c r="G15" s="15">
        <f t="shared" si="0"/>
        <v>740.85200000000009</v>
      </c>
      <c r="H15" s="15">
        <f>ROUND(AI15/C15,3)</f>
        <v>10.765000000000001</v>
      </c>
      <c r="I15" s="15">
        <f>ROUND((AJ15+AK15+AM15+AN15+AO15+AL15)/C15,3)</f>
        <v>41.25</v>
      </c>
      <c r="J15" s="15">
        <f>ROUND((AQ15+AR15+AS15+AT15+AU15)/C15,3)</f>
        <v>0</v>
      </c>
      <c r="K15" s="15">
        <f>ROUND((AX15+AY15)/C15,3)</f>
        <v>16.663</v>
      </c>
      <c r="L15" s="37">
        <f t="shared" si="1"/>
        <v>0</v>
      </c>
      <c r="M15" s="37">
        <f>ROUND(BD15/C15,3)</f>
        <v>0</v>
      </c>
      <c r="N15" s="37">
        <f t="shared" si="8"/>
        <v>0</v>
      </c>
      <c r="O15" s="15">
        <f t="shared" si="2"/>
        <v>809.53000000000009</v>
      </c>
      <c r="P15" s="15">
        <f>ROUND((X15+Y15+Z15)/C15,3)</f>
        <v>75.653000000000006</v>
      </c>
      <c r="Q15" s="15">
        <f>ROUND(AV15/C15,2)</f>
        <v>0</v>
      </c>
      <c r="R15" s="14">
        <f t="shared" si="3"/>
        <v>885.18300000000011</v>
      </c>
      <c r="S15" s="84" t="s">
        <v>90</v>
      </c>
      <c r="T15" s="15">
        <f>1737418+10200</f>
        <v>1747618</v>
      </c>
      <c r="U15" s="15">
        <v>527800</v>
      </c>
      <c r="V15" s="15">
        <v>300804.5</v>
      </c>
      <c r="W15" s="15">
        <v>90843.1</v>
      </c>
      <c r="X15" s="15">
        <v>52380</v>
      </c>
      <c r="Y15" s="15">
        <v>189933</v>
      </c>
      <c r="Z15" s="15">
        <v>30036</v>
      </c>
      <c r="AA15" s="15">
        <v>8500</v>
      </c>
      <c r="AB15" s="15"/>
      <c r="AC15" s="15">
        <v>500</v>
      </c>
      <c r="AD15" s="15"/>
      <c r="AE15" s="15"/>
      <c r="AF15" s="15">
        <v>20250</v>
      </c>
      <c r="AG15" s="15">
        <v>9505.6</v>
      </c>
      <c r="AH15" s="15"/>
      <c r="AI15" s="15">
        <f t="shared" si="9"/>
        <v>38755.599999999999</v>
      </c>
      <c r="AJ15" s="15">
        <v>0</v>
      </c>
      <c r="AK15" s="15"/>
      <c r="AL15" s="15"/>
      <c r="AM15" s="15">
        <v>148500</v>
      </c>
      <c r="AN15" s="8"/>
      <c r="AO15" s="8"/>
      <c r="AP15" s="305" t="s">
        <v>90</v>
      </c>
      <c r="AQ15" s="15"/>
      <c r="AR15" s="15"/>
      <c r="AS15" s="15"/>
      <c r="AT15" s="15"/>
      <c r="AU15" s="15"/>
      <c r="AV15" s="15"/>
      <c r="AW15" s="15"/>
      <c r="AX15" s="15">
        <v>59985</v>
      </c>
      <c r="AY15" s="15"/>
      <c r="AZ15" s="15"/>
      <c r="BA15" s="15"/>
      <c r="BB15" s="15"/>
      <c r="BC15" s="15"/>
      <c r="BD15" s="15"/>
      <c r="BE15" s="15"/>
      <c r="BF15" s="15">
        <f>T15+U15+V15+W15+X15+Y15+Z15+AI15+AJ15+AK15+AM15+AN15+AQ15+AR15+AS15+AT15+AU15+AV15+AW15+AX15+AY15+AZ15+BA15+BB15+BC15+BD15+BE15+AL15</f>
        <v>3186655.2</v>
      </c>
      <c r="BG15" s="8"/>
      <c r="BH15" s="8"/>
      <c r="BI15" s="30">
        <f t="shared" si="6"/>
        <v>885.18</v>
      </c>
      <c r="BJ15" s="58">
        <f t="shared" si="10"/>
        <v>2048422.5</v>
      </c>
      <c r="BK15" s="58">
        <f t="shared" si="10"/>
        <v>618643.1</v>
      </c>
      <c r="BL15" s="58">
        <f t="shared" si="11"/>
        <v>272349</v>
      </c>
      <c r="BM15" s="58">
        <f t="shared" si="12"/>
        <v>0</v>
      </c>
      <c r="BN15" s="58">
        <f>AI15+AJ15+AK15+AM15+AN15+AR15+AS15+AT15+AU15+AV15+AW15+AX15+AY15+BB15+BE15+AL15</f>
        <v>247240.6</v>
      </c>
      <c r="BO15" s="58">
        <f t="shared" si="13"/>
        <v>3186655.2</v>
      </c>
      <c r="BP15" s="1"/>
    </row>
    <row r="16" spans="1:68" ht="81" customHeight="1">
      <c r="A16" s="932"/>
      <c r="B16" s="932"/>
      <c r="C16" s="64">
        <v>220</v>
      </c>
      <c r="D16" s="84" t="s">
        <v>91</v>
      </c>
      <c r="E16" s="15">
        <f>ROUND((T16+U16)/C16,2)</f>
        <v>2500.29</v>
      </c>
      <c r="F16" s="15">
        <f>ROUND((V16+W16)/C16,2)</f>
        <v>0</v>
      </c>
      <c r="G16" s="15">
        <f t="shared" si="0"/>
        <v>2500.29</v>
      </c>
      <c r="H16" s="15">
        <f>ROUND(AI16/C16,2)</f>
        <v>0</v>
      </c>
      <c r="I16" s="15">
        <f>ROUND((AJ16+AK16+AM16+AN16+AO16)/C16,2)</f>
        <v>0</v>
      </c>
      <c r="J16" s="15">
        <f>ROUND((AQ16+AR16+AS16+AT16+AU16)/C16,2)</f>
        <v>0</v>
      </c>
      <c r="K16" s="15">
        <f>ROUND((AX16+AY16)/C16,2)</f>
        <v>0</v>
      </c>
      <c r="L16" s="37">
        <f t="shared" si="1"/>
        <v>0</v>
      </c>
      <c r="M16" s="37">
        <f>ROUND(BD16/C16,2)</f>
        <v>0</v>
      </c>
      <c r="N16" s="37">
        <f t="shared" si="8"/>
        <v>0</v>
      </c>
      <c r="O16" s="15">
        <f t="shared" si="2"/>
        <v>2500.29</v>
      </c>
      <c r="P16" s="15">
        <f>ROUND((X16+Y16+Z16)/C16,2)</f>
        <v>71.209999999999994</v>
      </c>
      <c r="Q16" s="15">
        <f>ROUND(AV16/C16,2)</f>
        <v>0</v>
      </c>
      <c r="R16" s="14">
        <f t="shared" si="3"/>
        <v>2571.5</v>
      </c>
      <c r="S16" s="28" t="s">
        <v>91</v>
      </c>
      <c r="T16" s="15">
        <v>422494</v>
      </c>
      <c r="U16" s="15">
        <v>127570</v>
      </c>
      <c r="V16" s="15"/>
      <c r="W16" s="15"/>
      <c r="X16" s="15">
        <v>9618</v>
      </c>
      <c r="Y16" s="15">
        <v>5193</v>
      </c>
      <c r="Z16" s="15">
        <v>855</v>
      </c>
      <c r="AA16" s="15"/>
      <c r="AB16" s="15"/>
      <c r="AC16" s="15"/>
      <c r="AD16" s="15"/>
      <c r="AE16" s="15"/>
      <c r="AF16" s="15"/>
      <c r="AG16" s="15"/>
      <c r="AH16" s="15"/>
      <c r="AI16" s="15">
        <f t="shared" si="9"/>
        <v>0</v>
      </c>
      <c r="AJ16" s="15">
        <v>0</v>
      </c>
      <c r="AK16" s="15"/>
      <c r="AL16" s="15"/>
      <c r="AM16" s="15"/>
      <c r="AN16" s="8"/>
      <c r="AO16" s="8"/>
      <c r="AP16" s="304" t="s">
        <v>91</v>
      </c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>
        <f>T16+U16+V16+W16+X16+Y16+Z16+AI16+AJ16+AK16+AM16+AN16+AQ16+AR16+AS16+AT16+AU16+AV16+AW16+AX16+AY16+AZ16+BA16+BB16+BC16+BD16+BE16</f>
        <v>565730</v>
      </c>
      <c r="BG16" s="8"/>
      <c r="BH16" s="8"/>
      <c r="BI16" s="30">
        <f t="shared" si="6"/>
        <v>2571.5</v>
      </c>
      <c r="BJ16" s="81">
        <f>T16+V16</f>
        <v>422494</v>
      </c>
      <c r="BK16" s="81">
        <f>U16+W16</f>
        <v>127570</v>
      </c>
      <c r="BL16" s="81">
        <f t="shared" si="11"/>
        <v>15666</v>
      </c>
      <c r="BM16" s="58">
        <f t="shared" si="12"/>
        <v>0</v>
      </c>
      <c r="BN16" s="58">
        <f>AI16+AJ16+AK16+AM16+AN16+AR16+AS16+AT16+AU16+AV16+AW16+AX16+AY16+BB16+BE16</f>
        <v>0</v>
      </c>
      <c r="BO16" s="58">
        <f t="shared" si="13"/>
        <v>565730</v>
      </c>
      <c r="BP16" s="1"/>
    </row>
    <row r="17" spans="1:68" ht="82.5" customHeight="1">
      <c r="A17" s="933"/>
      <c r="B17" s="933"/>
      <c r="C17" s="64">
        <v>2500</v>
      </c>
      <c r="D17" s="28" t="s">
        <v>92</v>
      </c>
      <c r="E17" s="15">
        <f>ROUND((T17+U17)/C17,3)</f>
        <v>127.38500000000001</v>
      </c>
      <c r="F17" s="15">
        <f>ROUND((V17+W17)/C17,2)</f>
        <v>0</v>
      </c>
      <c r="G17" s="15">
        <f t="shared" si="0"/>
        <v>127.38500000000001</v>
      </c>
      <c r="H17" s="15">
        <f>ROUND(AI17/C17,3)</f>
        <v>0.48099999999999998</v>
      </c>
      <c r="I17" s="15">
        <f>ROUND((AJ17+AK17+AM17+AN17+AO17)/C17,2)</f>
        <v>22.61</v>
      </c>
      <c r="J17" s="15">
        <f>ROUND((AQ17+AR17+AS17+AT17+AU17)/C17,2)</f>
        <v>0</v>
      </c>
      <c r="K17" s="15">
        <f>ROUND((AX17+AY17)/C17,2)</f>
        <v>0</v>
      </c>
      <c r="L17" s="37">
        <f t="shared" si="1"/>
        <v>0</v>
      </c>
      <c r="M17" s="37">
        <f>ROUND(BD17/C17,2)</f>
        <v>0</v>
      </c>
      <c r="N17" s="37">
        <f t="shared" si="8"/>
        <v>0</v>
      </c>
      <c r="O17" s="15">
        <f t="shared" si="2"/>
        <v>150.476</v>
      </c>
      <c r="P17" s="15">
        <f>ROUND((X17+Y17+Z17)/C17,3)</f>
        <v>3.105</v>
      </c>
      <c r="Q17" s="15">
        <f>ROUND(AV17/C17,2)</f>
        <v>0</v>
      </c>
      <c r="R17" s="14">
        <f t="shared" si="3"/>
        <v>153.58099999999999</v>
      </c>
      <c r="S17" s="28" t="s">
        <v>92</v>
      </c>
      <c r="T17" s="15">
        <v>239169</v>
      </c>
      <c r="U17" s="15">
        <v>79293.89</v>
      </c>
      <c r="V17" s="15"/>
      <c r="W17" s="15"/>
      <c r="X17" s="15">
        <v>4017</v>
      </c>
      <c r="Y17" s="15">
        <v>2424</v>
      </c>
      <c r="Z17" s="15">
        <v>1321</v>
      </c>
      <c r="AA17" s="15">
        <v>1202</v>
      </c>
      <c r="AB17" s="15"/>
      <c r="AC17" s="15"/>
      <c r="AD17" s="15"/>
      <c r="AE17" s="15"/>
      <c r="AF17" s="15"/>
      <c r="AG17" s="15"/>
      <c r="AH17" s="15"/>
      <c r="AI17" s="15">
        <f t="shared" si="9"/>
        <v>1202</v>
      </c>
      <c r="AJ17" s="15">
        <v>0</v>
      </c>
      <c r="AK17" s="15">
        <v>56529</v>
      </c>
      <c r="AL17" s="15"/>
      <c r="AM17" s="15"/>
      <c r="AN17" s="8"/>
      <c r="AO17" s="8"/>
      <c r="AP17" s="304" t="s">
        <v>92</v>
      </c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>
        <f>T17+U17+V17+W17+X17+Y17+Z17+AI17+AJ17+AK17+AM17+AN17+AQ17+AR17+AS17+AT17+AU17+AV17+AW17+AX17+AY17+AZ17+BA17+BB17+BC17+BD17+BE17</f>
        <v>383955.89</v>
      </c>
      <c r="BG17" s="8"/>
      <c r="BH17" s="8"/>
      <c r="BI17" s="30">
        <f>ROUND(BF17/C17,3)</f>
        <v>153.58199999999999</v>
      </c>
      <c r="BJ17" s="81">
        <f>T17+V17</f>
        <v>239169</v>
      </c>
      <c r="BK17" s="81">
        <f>U17+W17</f>
        <v>79293.89</v>
      </c>
      <c r="BL17" s="81">
        <f t="shared" si="11"/>
        <v>7762</v>
      </c>
      <c r="BM17" s="58">
        <f t="shared" si="12"/>
        <v>0</v>
      </c>
      <c r="BN17" s="58">
        <f>AI17+AJ17+AK17+AM17+AN17+AR17+AS17+AT17+AU17+AV17+AW17+AX17+AY17+BB17+BE17</f>
        <v>57731</v>
      </c>
      <c r="BO17" s="58">
        <f t="shared" si="13"/>
        <v>383955.89</v>
      </c>
      <c r="BP17" s="1"/>
    </row>
    <row r="19" spans="1:68">
      <c r="R19" s="27" t="s">
        <v>274</v>
      </c>
    </row>
    <row r="20" spans="1:68">
      <c r="R20" s="27"/>
    </row>
    <row r="21" spans="1:68">
      <c r="R21" s="27"/>
    </row>
    <row r="22" spans="1:68">
      <c r="R22" s="27"/>
    </row>
    <row r="23" spans="1:68">
      <c r="O23" s="3" t="s">
        <v>274</v>
      </c>
      <c r="R23" s="27"/>
    </row>
    <row r="24" spans="1:68">
      <c r="R24" s="27"/>
    </row>
    <row r="25" spans="1:68">
      <c r="R25" s="27"/>
    </row>
  </sheetData>
  <mergeCells count="97">
    <mergeCell ref="A12:A17"/>
    <mergeCell ref="B12:B17"/>
    <mergeCell ref="AJ7:AO8"/>
    <mergeCell ref="S4:S10"/>
    <mergeCell ref="T5:W5"/>
    <mergeCell ref="R4:R10"/>
    <mergeCell ref="Q6:Q10"/>
    <mergeCell ref="AM9:AM10"/>
    <mergeCell ref="L6:L10"/>
    <mergeCell ref="AB9:AB10"/>
    <mergeCell ref="U7:U10"/>
    <mergeCell ref="X7:Z8"/>
    <mergeCell ref="W7:W10"/>
    <mergeCell ref="A1:R1"/>
    <mergeCell ref="X5:AO5"/>
    <mergeCell ref="AQ5:AW5"/>
    <mergeCell ref="AJ6:AO6"/>
    <mergeCell ref="D4:D10"/>
    <mergeCell ref="AQ6:AW6"/>
    <mergeCell ref="X9:X10"/>
    <mergeCell ref="Z9:Z10"/>
    <mergeCell ref="E4:N4"/>
    <mergeCell ref="E6:G6"/>
    <mergeCell ref="E5:N5"/>
    <mergeCell ref="H6:H10"/>
    <mergeCell ref="I6:I10"/>
    <mergeCell ref="G8:G10"/>
    <mergeCell ref="E7:G7"/>
    <mergeCell ref="E8:E10"/>
    <mergeCell ref="AX7:AX10"/>
    <mergeCell ref="F8:F10"/>
    <mergeCell ref="M6:M10"/>
    <mergeCell ref="AO9:AO10"/>
    <mergeCell ref="AS9:AS10"/>
    <mergeCell ref="AT9:AT10"/>
    <mergeCell ref="AA7:AI8"/>
    <mergeCell ref="AR8:AR10"/>
    <mergeCell ref="AK9:AK10"/>
    <mergeCell ref="AS8:AU8"/>
    <mergeCell ref="AG9:AG10"/>
    <mergeCell ref="AH9:AH10"/>
    <mergeCell ref="AL9:AL10"/>
    <mergeCell ref="K6:K10"/>
    <mergeCell ref="AQ7:AU7"/>
    <mergeCell ref="T7:T10"/>
    <mergeCell ref="BI5:BI10"/>
    <mergeCell ref="BD5:BD10"/>
    <mergeCell ref="BE5:BE10"/>
    <mergeCell ref="BF5:BF10"/>
    <mergeCell ref="BG5:BG10"/>
    <mergeCell ref="BJ4:BO4"/>
    <mergeCell ref="BK6:BK10"/>
    <mergeCell ref="Y9:Y10"/>
    <mergeCell ref="AZ7:BA7"/>
    <mergeCell ref="AP5:AP10"/>
    <mergeCell ref="AE9:AE10"/>
    <mergeCell ref="AC9:AC10"/>
    <mergeCell ref="AQ8:AQ10"/>
    <mergeCell ref="AW8:AW10"/>
    <mergeCell ref="T4:BI4"/>
    <mergeCell ref="V7:V10"/>
    <mergeCell ref="AN9:AN10"/>
    <mergeCell ref="AX6:BA6"/>
    <mergeCell ref="AU9:AU10"/>
    <mergeCell ref="T6:W6"/>
    <mergeCell ref="X6:Z6"/>
    <mergeCell ref="BJ5:BO5"/>
    <mergeCell ref="BL6:BL10"/>
    <mergeCell ref="BM6:BM10"/>
    <mergeCell ref="BN6:BN10"/>
    <mergeCell ref="BO6:BO10"/>
    <mergeCell ref="BJ6:BJ10"/>
    <mergeCell ref="BB8:BB10"/>
    <mergeCell ref="BB1:BH1"/>
    <mergeCell ref="AA6:AI6"/>
    <mergeCell ref="AF9:AF10"/>
    <mergeCell ref="AF1:AJ1"/>
    <mergeCell ref="AJ9:AJ10"/>
    <mergeCell ref="AA9:AA10"/>
    <mergeCell ref="AD9:AD10"/>
    <mergeCell ref="AI9:AI10"/>
    <mergeCell ref="AX5:BB5"/>
    <mergeCell ref="BH5:BH10"/>
    <mergeCell ref="AY7:AY10"/>
    <mergeCell ref="AV8:AV10"/>
    <mergeCell ref="AZ8:BA10"/>
    <mergeCell ref="BB6:BB7"/>
    <mergeCell ref="BC5:BC10"/>
    <mergeCell ref="A3:R3"/>
    <mergeCell ref="A4:A10"/>
    <mergeCell ref="B4:B10"/>
    <mergeCell ref="C4:C10"/>
    <mergeCell ref="O4:O10"/>
    <mergeCell ref="P6:P10"/>
    <mergeCell ref="P4:Q5"/>
    <mergeCell ref="N6:N10"/>
    <mergeCell ref="J6:J10"/>
  </mergeCells>
  <phoneticPr fontId="2" type="noConversion"/>
  <pageMargins left="0.11811023622047245" right="7.874015748031496E-2" top="0.27559055118110237" bottom="7.874015748031496E-2" header="0.35433070866141736" footer="0.51181102362204722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1">
    <tabColor rgb="FFFF0000"/>
  </sheetPr>
  <dimension ref="A1:BU28"/>
  <sheetViews>
    <sheetView topLeftCell="Q1" zoomScale="80" zoomScaleNormal="80" workbookViewId="0">
      <pane ySplit="10" topLeftCell="A20" activePane="bottomLeft" state="frozen"/>
      <selection pane="bottomLeft" activeCell="AK24" sqref="AK24"/>
    </sheetView>
  </sheetViews>
  <sheetFormatPr defaultRowHeight="12.75"/>
  <cols>
    <col min="1" max="1" width="41.28515625" style="3" customWidth="1"/>
    <col min="2" max="2" width="13.5703125" style="3" customWidth="1"/>
    <col min="3" max="3" width="9.42578125" style="3" customWidth="1"/>
    <col min="4" max="4" width="10.42578125" style="3" customWidth="1"/>
    <col min="5" max="5" width="6.7109375" style="108" customWidth="1"/>
    <col min="6" max="6" width="8.42578125" style="3" customWidth="1"/>
    <col min="7" max="7" width="14.7109375" style="3" customWidth="1"/>
    <col min="8" max="8" width="11.7109375" style="79" customWidth="1"/>
    <col min="9" max="9" width="10.7109375" style="79" customWidth="1"/>
    <col min="10" max="10" width="10.140625" style="79" customWidth="1"/>
    <col min="11" max="11" width="9.7109375" style="79" customWidth="1"/>
    <col min="12" max="12" width="8.140625" style="79" customWidth="1"/>
    <col min="13" max="14" width="9" style="79" customWidth="1"/>
    <col min="15" max="15" width="10.85546875" style="79" customWidth="1"/>
    <col min="16" max="16" width="9" style="79" customWidth="1"/>
    <col min="17" max="17" width="9.5703125" style="79" customWidth="1"/>
    <col min="18" max="18" width="10.5703125" style="79" customWidth="1"/>
    <col min="19" max="19" width="12.140625" style="79" customWidth="1"/>
    <col min="20" max="20" width="11" style="79" customWidth="1"/>
    <col min="21" max="21" width="9" style="79" customWidth="1"/>
    <col min="22" max="22" width="10.7109375" style="79" customWidth="1"/>
    <col min="23" max="23" width="16" style="79" customWidth="1"/>
    <col min="24" max="24" width="13.85546875" style="173" customWidth="1"/>
    <col min="25" max="25" width="13.140625" style="173" customWidth="1"/>
    <col min="26" max="26" width="14.140625" style="173" customWidth="1"/>
    <col min="27" max="27" width="12.140625" style="173" customWidth="1"/>
    <col min="28" max="28" width="14.140625" style="173" customWidth="1"/>
    <col min="29" max="29" width="9.7109375" style="173" customWidth="1"/>
    <col min="30" max="30" width="12.42578125" style="173" customWidth="1"/>
    <col min="31" max="31" width="12.7109375" style="173" customWidth="1"/>
    <col min="32" max="32" width="10.85546875" style="173" customWidth="1"/>
    <col min="33" max="33" width="9.140625" style="173" customWidth="1"/>
    <col min="34" max="34" width="11.28515625" style="173" customWidth="1"/>
    <col min="35" max="35" width="10.5703125" style="173" customWidth="1"/>
    <col min="36" max="36" width="9.5703125" style="173" customWidth="1"/>
    <col min="37" max="37" width="12.140625" style="173" customWidth="1"/>
    <col min="38" max="38" width="10" style="173" customWidth="1"/>
    <col min="39" max="39" width="11.42578125" style="173" customWidth="1"/>
    <col min="40" max="40" width="11.85546875" style="173" customWidth="1"/>
    <col min="41" max="41" width="10.28515625" style="173" customWidth="1"/>
    <col min="42" max="42" width="10.140625" style="173" customWidth="1"/>
    <col min="43" max="43" width="11.7109375" style="173" customWidth="1"/>
    <col min="44" max="44" width="10.7109375" style="173" customWidth="1"/>
    <col min="45" max="45" width="10.5703125" style="173" hidden="1" customWidth="1"/>
    <col min="46" max="46" width="13.7109375" style="79" customWidth="1"/>
    <col min="47" max="47" width="10.85546875" style="173" customWidth="1"/>
    <col min="48" max="48" width="12" style="173" customWidth="1"/>
    <col min="49" max="49" width="12.42578125" style="173" customWidth="1"/>
    <col min="50" max="50" width="10.42578125" style="173" customWidth="1"/>
    <col min="51" max="51" width="11.140625" style="173" hidden="1" customWidth="1"/>
    <col min="52" max="52" width="10.7109375" style="173" customWidth="1"/>
    <col min="53" max="53" width="9.28515625" style="173" hidden="1" customWidth="1"/>
    <col min="54" max="54" width="12.85546875" style="173" customWidth="1"/>
    <col min="55" max="55" width="11.140625" style="18" customWidth="1"/>
    <col min="56" max="56" width="8.7109375" style="18" hidden="1" customWidth="1"/>
    <col min="57" max="58" width="9.28515625" style="18" hidden="1" customWidth="1"/>
    <col min="59" max="59" width="15.7109375" style="18" customWidth="1"/>
    <col min="60" max="60" width="12" style="18" customWidth="1"/>
    <col min="61" max="61" width="14.5703125" style="18" customWidth="1"/>
    <col min="62" max="62" width="11.5703125" style="18" hidden="1" customWidth="1"/>
    <col min="63" max="63" width="15" style="18" customWidth="1"/>
    <col min="64" max="64" width="9.140625" style="245" hidden="1" customWidth="1"/>
    <col min="65" max="65" width="13.5703125" style="245" hidden="1" customWidth="1"/>
    <col min="66" max="66" width="11" style="245" customWidth="1"/>
    <col min="67" max="67" width="15.28515625" style="1" customWidth="1"/>
    <col min="68" max="68" width="14.42578125" style="1" customWidth="1"/>
    <col min="69" max="69" width="14.28515625" style="1" customWidth="1"/>
    <col min="70" max="70" width="13.85546875" style="1" customWidth="1"/>
    <col min="71" max="71" width="14.5703125" style="1" customWidth="1"/>
    <col min="72" max="72" width="12.140625" style="1" customWidth="1"/>
    <col min="73" max="73" width="14.42578125" style="1" bestFit="1" customWidth="1"/>
  </cols>
  <sheetData>
    <row r="1" spans="1:73" ht="21.75" customHeight="1">
      <c r="A1" s="686" t="s">
        <v>409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BD1" s="749"/>
      <c r="BE1" s="749"/>
      <c r="BF1" s="749"/>
      <c r="BG1" s="749"/>
      <c r="BH1" s="946"/>
      <c r="BI1" s="946"/>
      <c r="BJ1" s="946"/>
      <c r="BK1" s="946"/>
    </row>
    <row r="2" spans="1:73" ht="42" customHeight="1">
      <c r="A2" s="6"/>
      <c r="B2" s="756" t="s">
        <v>261</v>
      </c>
      <c r="C2" s="756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246"/>
      <c r="X2" s="19"/>
      <c r="Y2" s="19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247"/>
      <c r="AU2" s="19"/>
      <c r="AV2" s="19"/>
      <c r="AW2" s="19"/>
      <c r="AX2" s="19"/>
      <c r="AY2" s="19"/>
      <c r="AZ2" s="19"/>
      <c r="BA2" s="19"/>
      <c r="BB2" s="19"/>
    </row>
    <row r="3" spans="1:73" ht="18" customHeight="1">
      <c r="A3" s="4"/>
      <c r="B3" s="950" t="s">
        <v>330</v>
      </c>
      <c r="C3" s="950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246"/>
      <c r="X3" s="19"/>
      <c r="Y3" s="19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247"/>
      <c r="AU3" s="19"/>
      <c r="AV3" s="19"/>
      <c r="AW3" s="19"/>
      <c r="AX3" s="19"/>
      <c r="AY3" s="19"/>
      <c r="AZ3" s="19"/>
      <c r="BA3" s="19"/>
      <c r="BB3" s="19"/>
    </row>
    <row r="4" spans="1:73" ht="24" customHeight="1">
      <c r="A4" s="752" t="s">
        <v>0</v>
      </c>
      <c r="B4" s="871" t="s">
        <v>168</v>
      </c>
      <c r="C4" s="871" t="s">
        <v>199</v>
      </c>
      <c r="D4" s="752" t="s">
        <v>2</v>
      </c>
      <c r="E4" s="943" t="s">
        <v>277</v>
      </c>
      <c r="F4" s="752" t="s">
        <v>1</v>
      </c>
      <c r="G4" s="731" t="s">
        <v>68</v>
      </c>
      <c r="H4" s="948" t="s">
        <v>115</v>
      </c>
      <c r="I4" s="949"/>
      <c r="J4" s="949"/>
      <c r="K4" s="949"/>
      <c r="L4" s="949"/>
      <c r="M4" s="949"/>
      <c r="N4" s="949"/>
      <c r="O4" s="949"/>
      <c r="P4" s="949"/>
      <c r="Q4" s="949"/>
      <c r="R4" s="949"/>
      <c r="S4" s="644" t="s">
        <v>55</v>
      </c>
      <c r="T4" s="644" t="s">
        <v>56</v>
      </c>
      <c r="U4" s="937"/>
      <c r="V4" s="938" t="s">
        <v>54</v>
      </c>
      <c r="W4" s="731" t="s">
        <v>68</v>
      </c>
      <c r="X4" s="745" t="s">
        <v>60</v>
      </c>
      <c r="Y4" s="746"/>
      <c r="Z4" s="746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47"/>
      <c r="AO4" s="747"/>
      <c r="AP4" s="747"/>
      <c r="AQ4" s="747"/>
      <c r="AR4" s="747"/>
      <c r="AS4" s="747"/>
      <c r="AT4" s="747"/>
      <c r="AU4" s="747"/>
      <c r="AV4" s="747"/>
      <c r="AW4" s="747"/>
      <c r="AX4" s="747"/>
      <c r="AY4" s="747"/>
      <c r="AZ4" s="747"/>
      <c r="BA4" s="747"/>
      <c r="BB4" s="747"/>
      <c r="BC4" s="747"/>
      <c r="BD4" s="747"/>
      <c r="BE4" s="747"/>
      <c r="BF4" s="747"/>
      <c r="BG4" s="747"/>
      <c r="BH4" s="747"/>
      <c r="BI4" s="747"/>
      <c r="BJ4" s="747"/>
      <c r="BK4" s="747"/>
      <c r="BL4" s="747"/>
      <c r="BM4" s="747"/>
      <c r="BN4" s="748"/>
      <c r="BO4" s="687"/>
      <c r="BP4" s="687"/>
      <c r="BQ4" s="687"/>
      <c r="BR4" s="687"/>
      <c r="BS4" s="687"/>
      <c r="BT4" s="687"/>
      <c r="BU4" s="687"/>
    </row>
    <row r="5" spans="1:73" s="1" customFormat="1" ht="69.75" customHeight="1">
      <c r="A5" s="947"/>
      <c r="B5" s="941"/>
      <c r="C5" s="674"/>
      <c r="D5" s="947"/>
      <c r="E5" s="944"/>
      <c r="F5" s="947"/>
      <c r="G5" s="947"/>
      <c r="H5" s="644" t="s">
        <v>59</v>
      </c>
      <c r="I5" s="940"/>
      <c r="J5" s="940"/>
      <c r="K5" s="940"/>
      <c r="L5" s="940"/>
      <c r="M5" s="940"/>
      <c r="N5" s="940"/>
      <c r="O5" s="940"/>
      <c r="P5" s="940"/>
      <c r="Q5" s="940"/>
      <c r="R5" s="940"/>
      <c r="S5" s="937"/>
      <c r="T5" s="937"/>
      <c r="U5" s="937"/>
      <c r="V5" s="939"/>
      <c r="W5" s="937"/>
      <c r="X5" s="730" t="s">
        <v>62</v>
      </c>
      <c r="Y5" s="730"/>
      <c r="Z5" s="730"/>
      <c r="AA5" s="953"/>
      <c r="AB5" s="951" t="s">
        <v>8</v>
      </c>
      <c r="AC5" s="951"/>
      <c r="AD5" s="951"/>
      <c r="AE5" s="951"/>
      <c r="AF5" s="951"/>
      <c r="AG5" s="951"/>
      <c r="AH5" s="951"/>
      <c r="AI5" s="951"/>
      <c r="AJ5" s="951"/>
      <c r="AK5" s="951"/>
      <c r="AL5" s="951"/>
      <c r="AM5" s="951"/>
      <c r="AN5" s="951"/>
      <c r="AO5" s="951"/>
      <c r="AP5" s="951"/>
      <c r="AQ5" s="951"/>
      <c r="AR5" s="951"/>
      <c r="AS5" s="951"/>
      <c r="AT5" s="731" t="s">
        <v>68</v>
      </c>
      <c r="AU5" s="735" t="s">
        <v>19</v>
      </c>
      <c r="AV5" s="741"/>
      <c r="AW5" s="741"/>
      <c r="AX5" s="741"/>
      <c r="AY5" s="741"/>
      <c r="AZ5" s="741"/>
      <c r="BA5" s="742"/>
      <c r="BB5" s="730" t="s">
        <v>19</v>
      </c>
      <c r="BC5" s="730"/>
      <c r="BD5" s="730"/>
      <c r="BE5" s="730"/>
      <c r="BF5" s="730"/>
      <c r="BG5" s="730" t="s">
        <v>20</v>
      </c>
      <c r="BH5" s="730" t="s">
        <v>125</v>
      </c>
      <c r="BI5" s="730" t="s">
        <v>13</v>
      </c>
      <c r="BJ5" s="730" t="s">
        <v>21</v>
      </c>
      <c r="BK5" s="730" t="s">
        <v>22</v>
      </c>
      <c r="BL5" s="646" t="s">
        <v>23</v>
      </c>
      <c r="BM5" s="646" t="s">
        <v>24</v>
      </c>
      <c r="BN5" s="952" t="s">
        <v>25</v>
      </c>
      <c r="BO5" s="687" t="s">
        <v>129</v>
      </c>
      <c r="BP5" s="687"/>
      <c r="BQ5" s="687"/>
      <c r="BR5" s="687"/>
      <c r="BS5" s="687"/>
      <c r="BT5" s="687"/>
      <c r="BU5" s="687"/>
    </row>
    <row r="6" spans="1:73" s="2" customFormat="1" ht="66.75" customHeight="1">
      <c r="A6" s="947"/>
      <c r="B6" s="941"/>
      <c r="C6" s="674"/>
      <c r="D6" s="947"/>
      <c r="E6" s="944"/>
      <c r="F6" s="947"/>
      <c r="G6" s="947"/>
      <c r="H6" s="644" t="s">
        <v>53</v>
      </c>
      <c r="I6" s="940"/>
      <c r="J6" s="940"/>
      <c r="K6" s="644" t="s">
        <v>27</v>
      </c>
      <c r="L6" s="644" t="s">
        <v>10</v>
      </c>
      <c r="M6" s="644" t="s">
        <v>5</v>
      </c>
      <c r="N6" s="644" t="s">
        <v>51</v>
      </c>
      <c r="O6" s="644" t="s">
        <v>20</v>
      </c>
      <c r="P6" s="644" t="s">
        <v>100</v>
      </c>
      <c r="Q6" s="644" t="s">
        <v>13</v>
      </c>
      <c r="R6" s="644" t="s">
        <v>21</v>
      </c>
      <c r="S6" s="937"/>
      <c r="T6" s="644" t="s">
        <v>16</v>
      </c>
      <c r="U6" s="644" t="s">
        <v>52</v>
      </c>
      <c r="V6" s="939"/>
      <c r="W6" s="937"/>
      <c r="X6" s="730" t="s">
        <v>66</v>
      </c>
      <c r="Y6" s="953"/>
      <c r="Z6" s="953"/>
      <c r="AA6" s="953"/>
      <c r="AB6" s="730" t="s">
        <v>63</v>
      </c>
      <c r="AC6" s="730"/>
      <c r="AD6" s="730"/>
      <c r="AE6" s="730"/>
      <c r="AF6" s="738">
        <v>340</v>
      </c>
      <c r="AG6" s="738"/>
      <c r="AH6" s="738"/>
      <c r="AI6" s="738"/>
      <c r="AJ6" s="738"/>
      <c r="AK6" s="738"/>
      <c r="AL6" s="738"/>
      <c r="AM6" s="738"/>
      <c r="AN6" s="738"/>
      <c r="AO6" s="730" t="s">
        <v>4</v>
      </c>
      <c r="AP6" s="730"/>
      <c r="AQ6" s="730"/>
      <c r="AR6" s="730"/>
      <c r="AS6" s="730"/>
      <c r="AT6" s="937"/>
      <c r="AU6" s="730" t="s">
        <v>5</v>
      </c>
      <c r="AV6" s="730"/>
      <c r="AW6" s="730"/>
      <c r="AX6" s="730"/>
      <c r="AY6" s="730"/>
      <c r="AZ6" s="730"/>
      <c r="BA6" s="730"/>
      <c r="BB6" s="730" t="s">
        <v>6</v>
      </c>
      <c r="BC6" s="954"/>
      <c r="BD6" s="953"/>
      <c r="BE6" s="953"/>
      <c r="BF6" s="738">
        <v>290</v>
      </c>
      <c r="BG6" s="730"/>
      <c r="BH6" s="730"/>
      <c r="BI6" s="730"/>
      <c r="BJ6" s="730"/>
      <c r="BK6" s="730"/>
      <c r="BL6" s="646"/>
      <c r="BM6" s="646"/>
      <c r="BN6" s="952"/>
      <c r="BO6" s="691">
        <v>2110</v>
      </c>
      <c r="BP6" s="691">
        <v>2130</v>
      </c>
      <c r="BQ6" s="691">
        <v>2230</v>
      </c>
      <c r="BR6" s="691">
        <v>7500</v>
      </c>
      <c r="BS6" s="691">
        <v>7520</v>
      </c>
      <c r="BT6" s="691">
        <v>7660</v>
      </c>
      <c r="BU6" s="691" t="s">
        <v>130</v>
      </c>
    </row>
    <row r="7" spans="1:73" s="2" customFormat="1" ht="54" customHeight="1">
      <c r="A7" s="947"/>
      <c r="B7" s="941"/>
      <c r="C7" s="674"/>
      <c r="D7" s="947"/>
      <c r="E7" s="944"/>
      <c r="F7" s="947"/>
      <c r="G7" s="947"/>
      <c r="H7" s="644" t="s">
        <v>26</v>
      </c>
      <c r="I7" s="644"/>
      <c r="J7" s="644"/>
      <c r="K7" s="940"/>
      <c r="L7" s="940"/>
      <c r="M7" s="940"/>
      <c r="N7" s="940"/>
      <c r="O7" s="940"/>
      <c r="P7" s="940"/>
      <c r="Q7" s="940"/>
      <c r="R7" s="940"/>
      <c r="S7" s="937"/>
      <c r="T7" s="940"/>
      <c r="U7" s="940"/>
      <c r="V7" s="939"/>
      <c r="W7" s="937"/>
      <c r="X7" s="730" t="s">
        <v>3</v>
      </c>
      <c r="Y7" s="730" t="s">
        <v>64</v>
      </c>
      <c r="Z7" s="730" t="s">
        <v>12</v>
      </c>
      <c r="AA7" s="730" t="s">
        <v>65</v>
      </c>
      <c r="AB7" s="730" t="s">
        <v>16</v>
      </c>
      <c r="AC7" s="730"/>
      <c r="AD7" s="730"/>
      <c r="AE7" s="730"/>
      <c r="AF7" s="730" t="s">
        <v>27</v>
      </c>
      <c r="AG7" s="730"/>
      <c r="AH7" s="730"/>
      <c r="AI7" s="730"/>
      <c r="AJ7" s="730"/>
      <c r="AK7" s="730"/>
      <c r="AL7" s="730"/>
      <c r="AM7" s="730"/>
      <c r="AN7" s="730"/>
      <c r="AO7" s="730" t="s">
        <v>10</v>
      </c>
      <c r="AP7" s="730"/>
      <c r="AQ7" s="730"/>
      <c r="AR7" s="730"/>
      <c r="AS7" s="730"/>
      <c r="AT7" s="937"/>
      <c r="AU7" s="738">
        <v>225</v>
      </c>
      <c r="AV7" s="738"/>
      <c r="AW7" s="738"/>
      <c r="AX7" s="738"/>
      <c r="AY7" s="738"/>
      <c r="AZ7" s="78">
        <v>290</v>
      </c>
      <c r="BA7" s="78">
        <v>224</v>
      </c>
      <c r="BB7" s="60" t="s">
        <v>4</v>
      </c>
      <c r="BC7" s="60" t="s">
        <v>4</v>
      </c>
      <c r="BD7" s="730" t="s">
        <v>4</v>
      </c>
      <c r="BE7" s="730"/>
      <c r="BF7" s="738"/>
      <c r="BG7" s="730"/>
      <c r="BH7" s="730"/>
      <c r="BI7" s="730"/>
      <c r="BJ7" s="730"/>
      <c r="BK7" s="730"/>
      <c r="BL7" s="646"/>
      <c r="BM7" s="646"/>
      <c r="BN7" s="952"/>
      <c r="BO7" s="691"/>
      <c r="BP7" s="691"/>
      <c r="BQ7" s="691"/>
      <c r="BR7" s="691"/>
      <c r="BS7" s="691"/>
      <c r="BT7" s="691"/>
      <c r="BU7" s="691"/>
    </row>
    <row r="8" spans="1:73" s="2" customFormat="1" ht="47.25" customHeight="1">
      <c r="A8" s="947"/>
      <c r="B8" s="941"/>
      <c r="C8" s="674"/>
      <c r="D8" s="947"/>
      <c r="E8" s="944"/>
      <c r="F8" s="947"/>
      <c r="G8" s="947"/>
      <c r="H8" s="644" t="s">
        <v>3</v>
      </c>
      <c r="I8" s="644" t="s">
        <v>12</v>
      </c>
      <c r="J8" s="644" t="s">
        <v>11</v>
      </c>
      <c r="K8" s="940"/>
      <c r="L8" s="940"/>
      <c r="M8" s="940"/>
      <c r="N8" s="940"/>
      <c r="O8" s="940"/>
      <c r="P8" s="940"/>
      <c r="Q8" s="940"/>
      <c r="R8" s="940"/>
      <c r="S8" s="937"/>
      <c r="T8" s="940"/>
      <c r="U8" s="940"/>
      <c r="V8" s="939"/>
      <c r="W8" s="937"/>
      <c r="X8" s="953"/>
      <c r="Y8" s="953"/>
      <c r="Z8" s="953"/>
      <c r="AA8" s="953"/>
      <c r="AB8" s="730"/>
      <c r="AC8" s="730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730"/>
      <c r="AP8" s="730"/>
      <c r="AQ8" s="730"/>
      <c r="AR8" s="730"/>
      <c r="AS8" s="730"/>
      <c r="AT8" s="937"/>
      <c r="AU8" s="730" t="s">
        <v>127</v>
      </c>
      <c r="AV8" s="730" t="s">
        <v>128</v>
      </c>
      <c r="AW8" s="730" t="s">
        <v>119</v>
      </c>
      <c r="AX8" s="730"/>
      <c r="AY8" s="730"/>
      <c r="AZ8" s="730" t="s">
        <v>31</v>
      </c>
      <c r="BA8" s="730" t="s">
        <v>123</v>
      </c>
      <c r="BB8" s="730" t="s">
        <v>32</v>
      </c>
      <c r="BC8" s="730" t="s">
        <v>33</v>
      </c>
      <c r="BD8" s="730" t="s">
        <v>34</v>
      </c>
      <c r="BE8" s="730"/>
      <c r="BF8" s="730" t="s">
        <v>126</v>
      </c>
      <c r="BG8" s="730"/>
      <c r="BH8" s="730"/>
      <c r="BI8" s="730"/>
      <c r="BJ8" s="730"/>
      <c r="BK8" s="730"/>
      <c r="BL8" s="646"/>
      <c r="BM8" s="646"/>
      <c r="BN8" s="952"/>
      <c r="BO8" s="691"/>
      <c r="BP8" s="691"/>
      <c r="BQ8" s="691"/>
      <c r="BR8" s="691"/>
      <c r="BS8" s="691"/>
      <c r="BT8" s="691"/>
      <c r="BU8" s="691"/>
    </row>
    <row r="9" spans="1:73" s="2" customFormat="1" ht="26.25" customHeight="1">
      <c r="A9" s="947"/>
      <c r="B9" s="941"/>
      <c r="C9" s="674"/>
      <c r="D9" s="947"/>
      <c r="E9" s="944"/>
      <c r="F9" s="947"/>
      <c r="G9" s="947"/>
      <c r="H9" s="644"/>
      <c r="I9" s="644"/>
      <c r="J9" s="644"/>
      <c r="K9" s="940"/>
      <c r="L9" s="940"/>
      <c r="M9" s="940"/>
      <c r="N9" s="940"/>
      <c r="O9" s="940"/>
      <c r="P9" s="940"/>
      <c r="Q9" s="940"/>
      <c r="R9" s="940"/>
      <c r="S9" s="937"/>
      <c r="T9" s="940"/>
      <c r="U9" s="940"/>
      <c r="V9" s="939"/>
      <c r="W9" s="937"/>
      <c r="X9" s="953"/>
      <c r="Y9" s="953"/>
      <c r="Z9" s="953"/>
      <c r="AA9" s="953"/>
      <c r="AB9" s="730" t="s">
        <v>9</v>
      </c>
      <c r="AC9" s="730" t="s">
        <v>98</v>
      </c>
      <c r="AD9" s="730" t="s">
        <v>17</v>
      </c>
      <c r="AE9" s="730" t="s">
        <v>18</v>
      </c>
      <c r="AF9" s="730" t="s">
        <v>36</v>
      </c>
      <c r="AG9" s="730" t="s">
        <v>37</v>
      </c>
      <c r="AH9" s="730" t="s">
        <v>38</v>
      </c>
      <c r="AI9" s="730" t="s">
        <v>39</v>
      </c>
      <c r="AJ9" s="730" t="s">
        <v>40</v>
      </c>
      <c r="AK9" s="730" t="s">
        <v>14</v>
      </c>
      <c r="AL9" s="730" t="s">
        <v>41</v>
      </c>
      <c r="AM9" s="730" t="s">
        <v>15</v>
      </c>
      <c r="AN9" s="730" t="s">
        <v>42</v>
      </c>
      <c r="AO9" s="730" t="s">
        <v>43</v>
      </c>
      <c r="AP9" s="730" t="s">
        <v>44</v>
      </c>
      <c r="AQ9" s="730" t="s">
        <v>282</v>
      </c>
      <c r="AR9" s="730" t="s">
        <v>49</v>
      </c>
      <c r="AS9" s="730" t="s">
        <v>47</v>
      </c>
      <c r="AT9" s="937"/>
      <c r="AU9" s="730"/>
      <c r="AV9" s="730"/>
      <c r="AW9" s="730" t="s">
        <v>48</v>
      </c>
      <c r="AX9" s="730" t="s">
        <v>49</v>
      </c>
      <c r="AY9" s="730" t="s">
        <v>50</v>
      </c>
      <c r="AZ9" s="730"/>
      <c r="BA9" s="730"/>
      <c r="BB9" s="730"/>
      <c r="BC9" s="730"/>
      <c r="BD9" s="730"/>
      <c r="BE9" s="730"/>
      <c r="BF9" s="730"/>
      <c r="BG9" s="730"/>
      <c r="BH9" s="730"/>
      <c r="BI9" s="730"/>
      <c r="BJ9" s="730"/>
      <c r="BK9" s="730"/>
      <c r="BL9" s="646"/>
      <c r="BM9" s="646"/>
      <c r="BN9" s="952"/>
      <c r="BO9" s="691"/>
      <c r="BP9" s="691"/>
      <c r="BQ9" s="691"/>
      <c r="BR9" s="691"/>
      <c r="BS9" s="691"/>
      <c r="BT9" s="691"/>
      <c r="BU9" s="691"/>
    </row>
    <row r="10" spans="1:73" s="2" customFormat="1" ht="48.75" customHeight="1">
      <c r="A10" s="947"/>
      <c r="B10" s="942"/>
      <c r="C10" s="716"/>
      <c r="D10" s="947"/>
      <c r="E10" s="945"/>
      <c r="F10" s="947"/>
      <c r="G10" s="947"/>
      <c r="H10" s="644"/>
      <c r="I10" s="644"/>
      <c r="J10" s="644"/>
      <c r="K10" s="940"/>
      <c r="L10" s="940"/>
      <c r="M10" s="940"/>
      <c r="N10" s="940"/>
      <c r="O10" s="940"/>
      <c r="P10" s="940"/>
      <c r="Q10" s="940"/>
      <c r="R10" s="940"/>
      <c r="S10" s="937"/>
      <c r="T10" s="940"/>
      <c r="U10" s="940"/>
      <c r="V10" s="939"/>
      <c r="W10" s="937"/>
      <c r="X10" s="953"/>
      <c r="Y10" s="953"/>
      <c r="Z10" s="953"/>
      <c r="AA10" s="953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937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30"/>
      <c r="BF10" s="730"/>
      <c r="BG10" s="730"/>
      <c r="BH10" s="730"/>
      <c r="BI10" s="730"/>
      <c r="BJ10" s="730"/>
      <c r="BK10" s="730"/>
      <c r="BL10" s="646"/>
      <c r="BM10" s="646"/>
      <c r="BN10" s="952"/>
      <c r="BO10" s="691"/>
      <c r="BP10" s="691"/>
      <c r="BQ10" s="691"/>
      <c r="BR10" s="691"/>
      <c r="BS10" s="691"/>
      <c r="BT10" s="691"/>
      <c r="BU10" s="691"/>
    </row>
    <row r="11" spans="1:73" s="1" customFormat="1" ht="87" customHeight="1">
      <c r="A11" s="51" t="s">
        <v>260</v>
      </c>
      <c r="B11" s="51" t="s">
        <v>173</v>
      </c>
      <c r="C11" s="155"/>
      <c r="D11" s="155" t="s">
        <v>385</v>
      </c>
      <c r="E11" s="228" t="s">
        <v>278</v>
      </c>
      <c r="F11" s="229">
        <v>106</v>
      </c>
      <c r="G11" s="88" t="s">
        <v>99</v>
      </c>
      <c r="H11" s="58">
        <f t="shared" ref="H11:H18" si="0">ROUND((X11+Y11)/F11,3)</f>
        <v>8887.4619999999995</v>
      </c>
      <c r="I11" s="58">
        <f>ROUND((Z11+AA11)/F11,2)</f>
        <v>0</v>
      </c>
      <c r="J11" s="58">
        <f t="shared" ref="J11:J20" si="1">H11+I11</f>
        <v>8887.4619999999995</v>
      </c>
      <c r="K11" s="58">
        <f>ROUND((AN11-AM11)/F11,2)</f>
        <v>0</v>
      </c>
      <c r="L11" s="58">
        <f>ROUND((AO11+AP11+AQ11+AR11+AS11)/F11,2)</f>
        <v>0</v>
      </c>
      <c r="M11" s="58">
        <f>ROUND((AU11+AV11+AW11+AX11+AY11)/F11,2)</f>
        <v>0</v>
      </c>
      <c r="N11" s="58">
        <f>ROUND((BB11+BC11+BD11+BE11+BF11)/F11,2)</f>
        <v>0</v>
      </c>
      <c r="O11" s="153">
        <f>ROUND(BG11/F11,3)</f>
        <v>3290.9879999999998</v>
      </c>
      <c r="P11" s="153">
        <f>ROUND(BH11/F11,2)</f>
        <v>0</v>
      </c>
      <c r="Q11" s="153">
        <f>ROUND(BI11/F11,2)</f>
        <v>2459.6799999999998</v>
      </c>
      <c r="R11" s="153">
        <f>ROUND(AM11/F11,3)</f>
        <v>0</v>
      </c>
      <c r="S11" s="58">
        <f t="shared" ref="S11:S20" si="2">R11+Q11+O11+N11+M11+L11+K11+J11+P11</f>
        <v>14638.13</v>
      </c>
      <c r="T11" s="58">
        <f>ROUND((AB11+AD11+AE11)/F11,2)</f>
        <v>0</v>
      </c>
      <c r="U11" s="58">
        <f t="shared" ref="U11:U20" si="3">ROUND(AZ11/F11,2)</f>
        <v>0</v>
      </c>
      <c r="V11" s="170">
        <f t="shared" ref="V11:V20" si="4">S11+T11+U11</f>
        <v>14638.13</v>
      </c>
      <c r="W11" s="153" t="s">
        <v>99</v>
      </c>
      <c r="X11" s="15">
        <v>723558</v>
      </c>
      <c r="Y11" s="15">
        <v>218513</v>
      </c>
      <c r="Z11" s="15">
        <v>0</v>
      </c>
      <c r="AA11" s="15">
        <v>0</v>
      </c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>
        <f>AF11+AG11+AH11+AI11+AJ11+AK11+AM11+AL11</f>
        <v>0</v>
      </c>
      <c r="AO11" s="58"/>
      <c r="AP11" s="58"/>
      <c r="AQ11" s="58"/>
      <c r="AR11" s="58"/>
      <c r="AS11" s="58"/>
      <c r="AT11" s="153" t="s">
        <v>99</v>
      </c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15">
        <v>348844.75</v>
      </c>
      <c r="BH11" s="15"/>
      <c r="BI11" s="15">
        <v>260726</v>
      </c>
      <c r="BJ11" s="58"/>
      <c r="BK11" s="91">
        <f>X11+Y11+Z11+AA11+AB11+AD11+AE11+AN11+AO11+AP11+AQ11+AR11+AU11+AV11+AW11+AX11+AY11+AZ11+BA11+BB11+BC11+BD11+BE11+BF11+BG11+BI11+BJ11+BH11</f>
        <v>1551641.75</v>
      </c>
      <c r="BL11" s="58"/>
      <c r="BM11" s="91"/>
      <c r="BN11" s="67">
        <f t="shared" ref="BN11:BN19" si="5">ROUND(BK11/F11,2)</f>
        <v>14638.13</v>
      </c>
      <c r="BO11" s="81">
        <f>X11+Z11</f>
        <v>723558</v>
      </c>
      <c r="BP11" s="81">
        <f>Y11+AA11</f>
        <v>218513</v>
      </c>
      <c r="BQ11" s="81">
        <f>AB11+AC11+AD11+AE11</f>
        <v>0</v>
      </c>
      <c r="BR11" s="81">
        <f>BI11</f>
        <v>260726</v>
      </c>
      <c r="BS11" s="81">
        <f>BG11+BH11</f>
        <v>348844.75</v>
      </c>
      <c r="BT11" s="81">
        <f>AN11+AO11+AP11+AQ11+AR11+AS11+AU11+AV11+AW11+AX11+AY11+AZ11+BA11+BB11+BC11+BD11+BE11+BF11+BJ11</f>
        <v>0</v>
      </c>
      <c r="BU11" s="58">
        <f>BO11+BP11+BQ11+BR11+BS11+BT11</f>
        <v>1551641.75</v>
      </c>
    </row>
    <row r="12" spans="1:73" s="237" customFormat="1" ht="30.75" customHeight="1">
      <c r="A12" s="457" t="s">
        <v>262</v>
      </c>
      <c r="B12" s="458"/>
      <c r="C12" s="458"/>
      <c r="D12" s="458"/>
      <c r="E12" s="459"/>
      <c r="F12" s="459">
        <f>F11</f>
        <v>106</v>
      </c>
      <c r="G12" s="460"/>
      <c r="H12" s="461">
        <f t="shared" si="0"/>
        <v>8887.4619999999995</v>
      </c>
      <c r="I12" s="461">
        <f>ROUND((Z12+AA12)/F12,2)</f>
        <v>0</v>
      </c>
      <c r="J12" s="461">
        <f t="shared" si="1"/>
        <v>8887.4619999999995</v>
      </c>
      <c r="K12" s="462">
        <f>ROUND((AN12-AM12)/F12,2)</f>
        <v>0</v>
      </c>
      <c r="L12" s="461">
        <f>ROUND((AO12+AP12+AQ12+AR12+AS12)/F12,2)</f>
        <v>0</v>
      </c>
      <c r="M12" s="461">
        <f>ROUND((AU12+AV12+AW12+AX12+AY12)/F12,2)</f>
        <v>0</v>
      </c>
      <c r="N12" s="461">
        <f>ROUND((BB12+BC12+BD12+BE12+BF12)/F12,2)</f>
        <v>0</v>
      </c>
      <c r="O12" s="463">
        <f>ROUND(BG12/F12,3)</f>
        <v>3290.9879999999998</v>
      </c>
      <c r="P12" s="463">
        <f>ROUND(BH12/F12,2)</f>
        <v>0</v>
      </c>
      <c r="Q12" s="463">
        <f>ROUND(BI12/F12,2)</f>
        <v>2459.6799999999998</v>
      </c>
      <c r="R12" s="464">
        <f t="shared" ref="R12:R28" si="6">ROUND(AM12/F12,3)</f>
        <v>0</v>
      </c>
      <c r="S12" s="461">
        <f t="shared" si="2"/>
        <v>14638.13</v>
      </c>
      <c r="T12" s="461">
        <f>ROUND((AB12+AD12+AE12)/F12,2)</f>
        <v>0</v>
      </c>
      <c r="U12" s="461">
        <f t="shared" si="3"/>
        <v>0</v>
      </c>
      <c r="V12" s="467">
        <f t="shared" si="4"/>
        <v>14638.13</v>
      </c>
      <c r="W12" s="472"/>
      <c r="X12" s="467">
        <f>X11</f>
        <v>723558</v>
      </c>
      <c r="Y12" s="467">
        <f t="shared" ref="Y12:AS12" si="7">Y11</f>
        <v>218513</v>
      </c>
      <c r="Z12" s="467">
        <f t="shared" si="7"/>
        <v>0</v>
      </c>
      <c r="AA12" s="467">
        <f t="shared" si="7"/>
        <v>0</v>
      </c>
      <c r="AB12" s="467">
        <f t="shared" si="7"/>
        <v>0</v>
      </c>
      <c r="AC12" s="467">
        <f t="shared" si="7"/>
        <v>0</v>
      </c>
      <c r="AD12" s="467">
        <f t="shared" si="7"/>
        <v>0</v>
      </c>
      <c r="AE12" s="467">
        <f t="shared" si="7"/>
        <v>0</v>
      </c>
      <c r="AF12" s="467">
        <f t="shared" si="7"/>
        <v>0</v>
      </c>
      <c r="AG12" s="467">
        <f t="shared" si="7"/>
        <v>0</v>
      </c>
      <c r="AH12" s="467">
        <f t="shared" si="7"/>
        <v>0</v>
      </c>
      <c r="AI12" s="467">
        <f t="shared" si="7"/>
        <v>0</v>
      </c>
      <c r="AJ12" s="467">
        <f t="shared" si="7"/>
        <v>0</v>
      </c>
      <c r="AK12" s="467">
        <f t="shared" si="7"/>
        <v>0</v>
      </c>
      <c r="AL12" s="467">
        <f t="shared" si="7"/>
        <v>0</v>
      </c>
      <c r="AM12" s="467">
        <f t="shared" si="7"/>
        <v>0</v>
      </c>
      <c r="AN12" s="467">
        <f t="shared" si="7"/>
        <v>0</v>
      </c>
      <c r="AO12" s="467">
        <f t="shared" si="7"/>
        <v>0</v>
      </c>
      <c r="AP12" s="467">
        <f t="shared" si="7"/>
        <v>0</v>
      </c>
      <c r="AQ12" s="467">
        <f t="shared" si="7"/>
        <v>0</v>
      </c>
      <c r="AR12" s="467">
        <f t="shared" si="7"/>
        <v>0</v>
      </c>
      <c r="AS12" s="467">
        <f t="shared" si="7"/>
        <v>0</v>
      </c>
      <c r="AT12" s="472"/>
      <c r="AU12" s="467"/>
      <c r="AV12" s="467">
        <f t="shared" ref="AV12:BM12" si="8">AV11</f>
        <v>0</v>
      </c>
      <c r="AW12" s="467">
        <f t="shared" si="8"/>
        <v>0</v>
      </c>
      <c r="AX12" s="467">
        <f t="shared" si="8"/>
        <v>0</v>
      </c>
      <c r="AY12" s="467">
        <f t="shared" si="8"/>
        <v>0</v>
      </c>
      <c r="AZ12" s="467">
        <f t="shared" si="8"/>
        <v>0</v>
      </c>
      <c r="BA12" s="467">
        <f t="shared" si="8"/>
        <v>0</v>
      </c>
      <c r="BB12" s="467">
        <f t="shared" si="8"/>
        <v>0</v>
      </c>
      <c r="BC12" s="467">
        <f t="shared" si="8"/>
        <v>0</v>
      </c>
      <c r="BD12" s="467">
        <f t="shared" si="8"/>
        <v>0</v>
      </c>
      <c r="BE12" s="467">
        <f t="shared" si="8"/>
        <v>0</v>
      </c>
      <c r="BF12" s="467">
        <f t="shared" si="8"/>
        <v>0</v>
      </c>
      <c r="BG12" s="467">
        <f t="shared" si="8"/>
        <v>348844.75</v>
      </c>
      <c r="BH12" s="467">
        <f t="shared" si="8"/>
        <v>0</v>
      </c>
      <c r="BI12" s="467">
        <f t="shared" si="8"/>
        <v>260726</v>
      </c>
      <c r="BJ12" s="467">
        <f t="shared" si="8"/>
        <v>0</v>
      </c>
      <c r="BK12" s="467">
        <f t="shared" si="8"/>
        <v>1551641.75</v>
      </c>
      <c r="BL12" s="170">
        <f t="shared" si="8"/>
        <v>0</v>
      </c>
      <c r="BM12" s="170">
        <f t="shared" si="8"/>
        <v>0</v>
      </c>
      <c r="BN12" s="67">
        <f t="shared" si="5"/>
        <v>14638.13</v>
      </c>
      <c r="BO12" s="467">
        <f t="shared" ref="BO12:BU12" si="9">BO11</f>
        <v>723558</v>
      </c>
      <c r="BP12" s="467">
        <f t="shared" si="9"/>
        <v>218513</v>
      </c>
      <c r="BQ12" s="467">
        <f t="shared" si="9"/>
        <v>0</v>
      </c>
      <c r="BR12" s="467">
        <f t="shared" si="9"/>
        <v>260726</v>
      </c>
      <c r="BS12" s="467">
        <f t="shared" si="9"/>
        <v>348844.75</v>
      </c>
      <c r="BT12" s="467">
        <f t="shared" si="9"/>
        <v>0</v>
      </c>
      <c r="BU12" s="467">
        <f t="shared" si="9"/>
        <v>1551641.75</v>
      </c>
    </row>
    <row r="13" spans="1:73" ht="122.25" customHeight="1">
      <c r="A13" s="51" t="s">
        <v>260</v>
      </c>
      <c r="B13" s="51" t="s">
        <v>169</v>
      </c>
      <c r="C13" s="155"/>
      <c r="D13" s="155" t="s">
        <v>385</v>
      </c>
      <c r="E13" s="228" t="s">
        <v>278</v>
      </c>
      <c r="F13" s="324">
        <v>114</v>
      </c>
      <c r="G13" s="201" t="s">
        <v>97</v>
      </c>
      <c r="H13" s="230">
        <f t="shared" si="0"/>
        <v>29394.717000000001</v>
      </c>
      <c r="I13" s="230">
        <f>ROUND((Z13+AA13)/F13,2)</f>
        <v>0</v>
      </c>
      <c r="J13" s="230">
        <f t="shared" si="1"/>
        <v>29394.717000000001</v>
      </c>
      <c r="K13" s="58">
        <f>ROUND((AN13-AM13)/F13,3)</f>
        <v>179.035</v>
      </c>
      <c r="L13" s="230">
        <f>ROUND((AO13+AP13+AQ13+AR13+AS13)/F13,3)</f>
        <v>43.86</v>
      </c>
      <c r="M13" s="230">
        <f>ROUND((AU13+AV13+AW13+AX13+AY13)/F13,3)</f>
        <v>879.44500000000005</v>
      </c>
      <c r="N13" s="230">
        <f>ROUND((BB13+BC13+BD13+BE13+BF13)/F13,3)</f>
        <v>1515.693</v>
      </c>
      <c r="O13" s="231">
        <f>ROUND(BG13/F13,3)</f>
        <v>14933.236999999999</v>
      </c>
      <c r="P13" s="231">
        <f>ROUND(BH13/F13,3)</f>
        <v>288.80700000000002</v>
      </c>
      <c r="Q13" s="231">
        <f>ROUND(BI13/F13,3)</f>
        <v>7241.2020000000002</v>
      </c>
      <c r="R13" s="153">
        <f t="shared" si="6"/>
        <v>35.088000000000001</v>
      </c>
      <c r="S13" s="230">
        <f t="shared" si="2"/>
        <v>54511.084000000003</v>
      </c>
      <c r="T13" s="230">
        <f>ROUND((AB13+AD13+AE13)/F13,3)</f>
        <v>18069.544000000002</v>
      </c>
      <c r="U13" s="230">
        <f t="shared" si="3"/>
        <v>0</v>
      </c>
      <c r="V13" s="474">
        <f t="shared" si="4"/>
        <v>72580.627999999997</v>
      </c>
      <c r="W13" s="475" t="s">
        <v>97</v>
      </c>
      <c r="X13" s="208">
        <v>2484056.5</v>
      </c>
      <c r="Y13" s="208">
        <v>866941.2</v>
      </c>
      <c r="Z13" s="15">
        <v>0</v>
      </c>
      <c r="AA13" s="15">
        <v>0</v>
      </c>
      <c r="AB13" s="208">
        <v>1340546</v>
      </c>
      <c r="AC13" s="208"/>
      <c r="AD13" s="208">
        <v>577800</v>
      </c>
      <c r="AE13" s="208">
        <v>141582</v>
      </c>
      <c r="AF13" s="208">
        <v>9000</v>
      </c>
      <c r="AG13" s="208"/>
      <c r="AH13" s="208">
        <v>1000</v>
      </c>
      <c r="AI13" s="208">
        <v>4000</v>
      </c>
      <c r="AJ13" s="208"/>
      <c r="AK13" s="208"/>
      <c r="AL13" s="208">
        <v>6410</v>
      </c>
      <c r="AM13" s="208">
        <v>4000</v>
      </c>
      <c r="AN13" s="208">
        <f>AF13+AG13+AH13+AI13+AJ13+AK13+AM13+AL13</f>
        <v>24410</v>
      </c>
      <c r="AO13" s="208"/>
      <c r="AP13" s="207"/>
      <c r="AQ13" s="208"/>
      <c r="AR13" s="208">
        <v>5000</v>
      </c>
      <c r="AS13" s="208"/>
      <c r="AT13" s="475" t="s">
        <v>97</v>
      </c>
      <c r="AU13" s="208"/>
      <c r="AV13" s="208"/>
      <c r="AW13" s="208">
        <v>100256.7</v>
      </c>
      <c r="AX13" s="208"/>
      <c r="AY13" s="208"/>
      <c r="AZ13" s="208"/>
      <c r="BA13" s="208"/>
      <c r="BB13" s="208">
        <v>172789</v>
      </c>
      <c r="BC13" s="208"/>
      <c r="BD13" s="208"/>
      <c r="BE13" s="208"/>
      <c r="BF13" s="208"/>
      <c r="BG13" s="208">
        <v>1702389</v>
      </c>
      <c r="BH13" s="208">
        <v>32924</v>
      </c>
      <c r="BI13" s="208">
        <v>825497</v>
      </c>
      <c r="BJ13" s="208"/>
      <c r="BK13" s="311">
        <f>X13+Y13+Z13+AA13+AB13+AD13+AE13+AN13+AO13+AP13+AQ13+AR13+AU13+AV13+AW13+AX13+AY13+AZ13+BA13+BB13+BC13+BD13+BE13+BF13+BG13+BI13+BJ13+BH13</f>
        <v>8274191.4000000004</v>
      </c>
      <c r="BL13" s="208"/>
      <c r="BM13" s="311"/>
      <c r="BN13" s="232">
        <f t="shared" si="5"/>
        <v>72580.63</v>
      </c>
      <c r="BO13" s="207">
        <f>X13+Z13</f>
        <v>2484056.5</v>
      </c>
      <c r="BP13" s="207">
        <f>Y13+AA13</f>
        <v>866941.2</v>
      </c>
      <c r="BQ13" s="207">
        <f>AB13+AC13+AD13+AE13</f>
        <v>2059928</v>
      </c>
      <c r="BR13" s="207">
        <f>BI13</f>
        <v>825497</v>
      </c>
      <c r="BS13" s="207">
        <f>BG13+BH13</f>
        <v>1735313</v>
      </c>
      <c r="BT13" s="207">
        <f>AN13+AO13+AP13+AQ13+AR13+AS13+AU13+AV13+AW13+AX13+AY13+AZ13+BA13+BB13+BC13+BD13+BE13+BF13+BJ13</f>
        <v>302455.7</v>
      </c>
      <c r="BU13" s="208">
        <f>BO13+BP13+BQ13+BR13+BS13+BT13</f>
        <v>8274191.4000000004</v>
      </c>
    </row>
    <row r="14" spans="1:73" s="98" customFormat="1" ht="36" customHeight="1">
      <c r="A14" s="457" t="s">
        <v>263</v>
      </c>
      <c r="B14" s="458"/>
      <c r="C14" s="458"/>
      <c r="D14" s="458"/>
      <c r="E14" s="459"/>
      <c r="F14" s="459">
        <f>F13</f>
        <v>114</v>
      </c>
      <c r="G14" s="460"/>
      <c r="H14" s="465">
        <f t="shared" si="0"/>
        <v>29394.717000000001</v>
      </c>
      <c r="I14" s="465">
        <f>ROUND((Z14+AA14)/F14,2)</f>
        <v>0</v>
      </c>
      <c r="J14" s="465">
        <f t="shared" si="1"/>
        <v>29394.717000000001</v>
      </c>
      <c r="K14" s="462">
        <f>ROUND((AN14-AM14)/F14,3)</f>
        <v>179.035</v>
      </c>
      <c r="L14" s="465">
        <f>ROUND((AO14+AP14+AQ14+AR14+AS14)/F14,3)</f>
        <v>43.86</v>
      </c>
      <c r="M14" s="465">
        <f>ROUND((AU14+AV14+AW14+AX14+AY14)/F14,3)</f>
        <v>879.44500000000005</v>
      </c>
      <c r="N14" s="465">
        <f>ROUND((BB14+BC14+BD14+BE14+BF14)/F14,3)</f>
        <v>1515.693</v>
      </c>
      <c r="O14" s="466">
        <f>ROUND(BG14/F14,3)</f>
        <v>14933.236999999999</v>
      </c>
      <c r="P14" s="466">
        <f>ROUND(BH14/F14,3)</f>
        <v>288.80700000000002</v>
      </c>
      <c r="Q14" s="466">
        <f>ROUND(BI14/F14,3)</f>
        <v>7241.2020000000002</v>
      </c>
      <c r="R14" s="464">
        <f t="shared" si="6"/>
        <v>35.088000000000001</v>
      </c>
      <c r="S14" s="465">
        <f t="shared" si="2"/>
        <v>54511.084000000003</v>
      </c>
      <c r="T14" s="465">
        <f>ROUND((AB14+AD14+AE14)/F14,3)</f>
        <v>18069.544000000002</v>
      </c>
      <c r="U14" s="465">
        <f t="shared" si="3"/>
        <v>0</v>
      </c>
      <c r="V14" s="476">
        <f t="shared" si="4"/>
        <v>72580.627999999997</v>
      </c>
      <c r="W14" s="472"/>
      <c r="X14" s="467">
        <f>X13</f>
        <v>2484056.5</v>
      </c>
      <c r="Y14" s="467">
        <f t="shared" ref="Y14:AS14" si="10">Y13</f>
        <v>866941.2</v>
      </c>
      <c r="Z14" s="467">
        <f t="shared" si="10"/>
        <v>0</v>
      </c>
      <c r="AA14" s="467">
        <f t="shared" si="10"/>
        <v>0</v>
      </c>
      <c r="AB14" s="467">
        <f t="shared" si="10"/>
        <v>1340546</v>
      </c>
      <c r="AC14" s="467">
        <f t="shared" si="10"/>
        <v>0</v>
      </c>
      <c r="AD14" s="467">
        <f t="shared" si="10"/>
        <v>577800</v>
      </c>
      <c r="AE14" s="467">
        <f t="shared" si="10"/>
        <v>141582</v>
      </c>
      <c r="AF14" s="467">
        <f t="shared" si="10"/>
        <v>9000</v>
      </c>
      <c r="AG14" s="467">
        <f t="shared" si="10"/>
        <v>0</v>
      </c>
      <c r="AH14" s="467">
        <f t="shared" si="10"/>
        <v>1000</v>
      </c>
      <c r="AI14" s="467">
        <f t="shared" si="10"/>
        <v>4000</v>
      </c>
      <c r="AJ14" s="467">
        <f t="shared" si="10"/>
        <v>0</v>
      </c>
      <c r="AK14" s="467">
        <f t="shared" si="10"/>
        <v>0</v>
      </c>
      <c r="AL14" s="467">
        <f t="shared" si="10"/>
        <v>6410</v>
      </c>
      <c r="AM14" s="467">
        <f t="shared" si="10"/>
        <v>4000</v>
      </c>
      <c r="AN14" s="467">
        <f t="shared" si="10"/>
        <v>24410</v>
      </c>
      <c r="AO14" s="467">
        <f t="shared" si="10"/>
        <v>0</v>
      </c>
      <c r="AP14" s="467">
        <f t="shared" si="10"/>
        <v>0</v>
      </c>
      <c r="AQ14" s="467">
        <f t="shared" si="10"/>
        <v>0</v>
      </c>
      <c r="AR14" s="467">
        <f t="shared" si="10"/>
        <v>5000</v>
      </c>
      <c r="AS14" s="467">
        <f t="shared" si="10"/>
        <v>0</v>
      </c>
      <c r="AT14" s="472"/>
      <c r="AU14" s="467"/>
      <c r="AV14" s="467">
        <f t="shared" ref="AV14:BK14" si="11">AV13</f>
        <v>0</v>
      </c>
      <c r="AW14" s="467">
        <f t="shared" si="11"/>
        <v>100256.7</v>
      </c>
      <c r="AX14" s="467">
        <f t="shared" si="11"/>
        <v>0</v>
      </c>
      <c r="AY14" s="467">
        <f t="shared" si="11"/>
        <v>0</v>
      </c>
      <c r="AZ14" s="467">
        <f t="shared" si="11"/>
        <v>0</v>
      </c>
      <c r="BA14" s="467">
        <f t="shared" si="11"/>
        <v>0</v>
      </c>
      <c r="BB14" s="467">
        <f t="shared" si="11"/>
        <v>172789</v>
      </c>
      <c r="BC14" s="467">
        <f t="shared" si="11"/>
        <v>0</v>
      </c>
      <c r="BD14" s="467">
        <f t="shared" si="11"/>
        <v>0</v>
      </c>
      <c r="BE14" s="467">
        <f t="shared" si="11"/>
        <v>0</v>
      </c>
      <c r="BF14" s="467">
        <f t="shared" si="11"/>
        <v>0</v>
      </c>
      <c r="BG14" s="467">
        <f t="shared" si="11"/>
        <v>1702389</v>
      </c>
      <c r="BH14" s="467">
        <f t="shared" si="11"/>
        <v>32924</v>
      </c>
      <c r="BI14" s="467">
        <f t="shared" si="11"/>
        <v>825497</v>
      </c>
      <c r="BJ14" s="467">
        <f t="shared" si="11"/>
        <v>0</v>
      </c>
      <c r="BK14" s="467">
        <f t="shared" si="11"/>
        <v>8274191.4000000004</v>
      </c>
      <c r="BL14" s="170"/>
      <c r="BM14" s="170"/>
      <c r="BN14" s="232">
        <f t="shared" si="5"/>
        <v>72580.63</v>
      </c>
      <c r="BO14" s="467">
        <f>BO13</f>
        <v>2484056.5</v>
      </c>
      <c r="BP14" s="467">
        <f t="shared" ref="BP14:BU14" si="12">BP13</f>
        <v>866941.2</v>
      </c>
      <c r="BQ14" s="467">
        <f t="shared" si="12"/>
        <v>2059928</v>
      </c>
      <c r="BR14" s="467">
        <f t="shared" si="12"/>
        <v>825497</v>
      </c>
      <c r="BS14" s="467">
        <f t="shared" si="12"/>
        <v>1735313</v>
      </c>
      <c r="BT14" s="467">
        <f t="shared" si="12"/>
        <v>302455.7</v>
      </c>
      <c r="BU14" s="467">
        <f t="shared" si="12"/>
        <v>8274191.4000000004</v>
      </c>
    </row>
    <row r="15" spans="1:73" ht="112.5" customHeight="1">
      <c r="A15" s="51" t="s">
        <v>260</v>
      </c>
      <c r="B15" s="51" t="s">
        <v>281</v>
      </c>
      <c r="C15" s="155"/>
      <c r="D15" s="155" t="s">
        <v>385</v>
      </c>
      <c r="E15" s="228" t="s">
        <v>278</v>
      </c>
      <c r="F15" s="229">
        <v>280</v>
      </c>
      <c r="G15" s="62" t="s">
        <v>94</v>
      </c>
      <c r="H15" s="53">
        <f t="shared" si="0"/>
        <v>6797.13</v>
      </c>
      <c r="I15" s="53">
        <f>ROUND((Z15+AA15)/F15,3)</f>
        <v>2044.52</v>
      </c>
      <c r="J15" s="53">
        <f t="shared" si="1"/>
        <v>8841.65</v>
      </c>
      <c r="K15" s="58">
        <f>ROUND((AN15-AM15)/F15,3)</f>
        <v>187.196</v>
      </c>
      <c r="L15" s="53">
        <f>ROUND((AO15+AP15+AQ15+AR15+AS15)/F15,3)</f>
        <v>155.714</v>
      </c>
      <c r="M15" s="53">
        <f>ROUND((AU15+AV15+AW15+AX15+AY15)/F15,3)</f>
        <v>0</v>
      </c>
      <c r="N15" s="53">
        <f t="shared" ref="N15:N20" si="13">ROUND((BB15+BC15+BD15+BE15+BF15)/F15,2)</f>
        <v>0</v>
      </c>
      <c r="O15" s="54">
        <f t="shared" ref="O15:O20" si="14">ROUND(BG15/F15,2)</f>
        <v>0</v>
      </c>
      <c r="P15" s="54">
        <f t="shared" ref="P15:P20" si="15">ROUND(BH15/F15,2)</f>
        <v>0</v>
      </c>
      <c r="Q15" s="54">
        <f>ROUND(BI15/F15,3)</f>
        <v>885.19600000000003</v>
      </c>
      <c r="R15" s="153">
        <f t="shared" si="6"/>
        <v>12.5</v>
      </c>
      <c r="S15" s="53">
        <f t="shared" si="2"/>
        <v>10082.255999999999</v>
      </c>
      <c r="T15" s="53">
        <f>ROUND((AB15+AD15+AE15)/F15,2)</f>
        <v>499.01</v>
      </c>
      <c r="U15" s="53">
        <f t="shared" si="3"/>
        <v>0</v>
      </c>
      <c r="V15" s="170">
        <f t="shared" si="4"/>
        <v>10581.266</v>
      </c>
      <c r="W15" s="361" t="s">
        <v>94</v>
      </c>
      <c r="X15" s="58">
        <v>1452369.01</v>
      </c>
      <c r="Y15" s="15">
        <v>450827.5</v>
      </c>
      <c r="Z15" s="58">
        <v>439681.49</v>
      </c>
      <c r="AA15" s="15">
        <f>ROUND(Z15*0.302,0)</f>
        <v>132784</v>
      </c>
      <c r="AB15" s="58">
        <v>88555</v>
      </c>
      <c r="AC15" s="58"/>
      <c r="AD15" s="58">
        <v>34775</v>
      </c>
      <c r="AE15" s="58">
        <v>16393</v>
      </c>
      <c r="AF15" s="58">
        <v>3657</v>
      </c>
      <c r="AG15" s="58"/>
      <c r="AH15" s="58"/>
      <c r="AI15" s="58"/>
      <c r="AJ15" s="58"/>
      <c r="AK15" s="58">
        <v>48758</v>
      </c>
      <c r="AL15" s="58"/>
      <c r="AM15" s="58">
        <v>3500</v>
      </c>
      <c r="AN15" s="58">
        <f>AF15+AG15+AH15+AI15+AJ15+AK15+AM15+AL15</f>
        <v>55915</v>
      </c>
      <c r="AO15" s="58">
        <v>1600</v>
      </c>
      <c r="AP15" s="58"/>
      <c r="AQ15" s="58">
        <v>42000</v>
      </c>
      <c r="AR15" s="58"/>
      <c r="AS15" s="58"/>
      <c r="AT15" s="361" t="s">
        <v>94</v>
      </c>
      <c r="AU15" s="58">
        <v>0</v>
      </c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>
        <v>247855</v>
      </c>
      <c r="BJ15" s="58"/>
      <c r="BK15" s="91">
        <f>X15+Y15+Z15+AA15+AB15+AD15+AE15+AN15+AO15+AP15+AQ15+AR15+AU15+AV15+AW15+AX15+AY15+AZ15+BA15+BB15+BC15+BD15+BE15+BF15+BG15+BI15+BJ15+BH15</f>
        <v>2962755</v>
      </c>
      <c r="BL15" s="58"/>
      <c r="BM15" s="91"/>
      <c r="BN15" s="67">
        <f t="shared" si="5"/>
        <v>10581.27</v>
      </c>
      <c r="BO15" s="81">
        <f t="shared" ref="BO15:BP17" si="16">X15+Z15</f>
        <v>1892050.5</v>
      </c>
      <c r="BP15" s="81">
        <f t="shared" si="16"/>
        <v>583611.5</v>
      </c>
      <c r="BQ15" s="81">
        <f>AB15+AC15+AD15+AE15</f>
        <v>139723</v>
      </c>
      <c r="BR15" s="81">
        <f>BI15</f>
        <v>247855</v>
      </c>
      <c r="BS15" s="81">
        <f>BG15+BH15</f>
        <v>0</v>
      </c>
      <c r="BT15" s="81">
        <f>AN15+AO15+AP15+AQ15+AR15+AS15+AU15+AV15+AW15+AX15+AY15+AZ15+BA15+BB15+BC15+BD15+BE15+BF15+BJ15</f>
        <v>99515</v>
      </c>
      <c r="BU15" s="58">
        <f>BO15+BP15+BQ15+BR15+BS15+BT15</f>
        <v>2962755</v>
      </c>
    </row>
    <row r="16" spans="1:73" ht="105.75" customHeight="1">
      <c r="A16" s="51" t="s">
        <v>260</v>
      </c>
      <c r="B16" s="51" t="s">
        <v>281</v>
      </c>
      <c r="C16" s="155"/>
      <c r="D16" s="155" t="s">
        <v>385</v>
      </c>
      <c r="E16" s="228" t="s">
        <v>278</v>
      </c>
      <c r="F16" s="229">
        <v>338</v>
      </c>
      <c r="G16" s="62" t="s">
        <v>77</v>
      </c>
      <c r="H16" s="53">
        <f t="shared" si="0"/>
        <v>1143.287</v>
      </c>
      <c r="I16" s="53">
        <f>ROUND((Z16+AA16)/F16,2)</f>
        <v>0</v>
      </c>
      <c r="J16" s="53">
        <f t="shared" si="1"/>
        <v>1143.287</v>
      </c>
      <c r="K16" s="58">
        <f>ROUND((AN16-AM16)/F16,3)</f>
        <v>45.825000000000003</v>
      </c>
      <c r="L16" s="53">
        <f>ROUND((AO16+AP16+AQ16+AR16+AS16)/F16,2)</f>
        <v>0</v>
      </c>
      <c r="M16" s="53">
        <f>ROUND((AU16+AV16+AW16+AX16+AY16)/F16,2)</f>
        <v>0</v>
      </c>
      <c r="N16" s="53">
        <f t="shared" si="13"/>
        <v>0</v>
      </c>
      <c r="O16" s="54">
        <f t="shared" si="14"/>
        <v>0</v>
      </c>
      <c r="P16" s="54">
        <f t="shared" si="15"/>
        <v>0</v>
      </c>
      <c r="Q16" s="54">
        <f>ROUND(BI16/F16,3)</f>
        <v>599.11199999999997</v>
      </c>
      <c r="R16" s="153">
        <f t="shared" si="6"/>
        <v>30.908000000000001</v>
      </c>
      <c r="S16" s="53">
        <f t="shared" si="2"/>
        <v>1819.1320000000001</v>
      </c>
      <c r="T16" s="53">
        <f>ROUND((AB16+AD16+AE16)/F16,3)</f>
        <v>75.123999999999995</v>
      </c>
      <c r="U16" s="53">
        <f t="shared" si="3"/>
        <v>0</v>
      </c>
      <c r="V16" s="170">
        <f t="shared" si="4"/>
        <v>1894.2560000000001</v>
      </c>
      <c r="W16" s="361" t="s">
        <v>77</v>
      </c>
      <c r="X16" s="15">
        <v>296216</v>
      </c>
      <c r="Y16" s="15">
        <v>90215</v>
      </c>
      <c r="Z16" s="15"/>
      <c r="AA16" s="58"/>
      <c r="AB16" s="15">
        <v>6408</v>
      </c>
      <c r="AC16" s="15"/>
      <c r="AD16" s="15">
        <v>5417</v>
      </c>
      <c r="AE16" s="15">
        <v>13567</v>
      </c>
      <c r="AF16" s="15">
        <v>10489</v>
      </c>
      <c r="AG16" s="15"/>
      <c r="AH16" s="15">
        <v>1665</v>
      </c>
      <c r="AI16" s="15"/>
      <c r="AJ16" s="15"/>
      <c r="AK16" s="15"/>
      <c r="AL16" s="15">
        <v>3335</v>
      </c>
      <c r="AM16" s="58">
        <v>10447</v>
      </c>
      <c r="AN16" s="58">
        <f>AF16+AG16+AH16+AI16+AJ16+AK16+AM16+AL16</f>
        <v>25936</v>
      </c>
      <c r="AO16" s="58"/>
      <c r="AP16" s="58"/>
      <c r="AQ16" s="58"/>
      <c r="AR16" s="58"/>
      <c r="AS16" s="58"/>
      <c r="AT16" s="361" t="s">
        <v>77</v>
      </c>
      <c r="AU16" s="58">
        <v>0</v>
      </c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15">
        <v>202500</v>
      </c>
      <c r="BJ16" s="58"/>
      <c r="BK16" s="91">
        <f>X16+Y16+Z16+AA16+AB16+AD16+AE16+AN16+AO16+AP16+AQ16+AR16+AU16+AV16+AW16+AX16+AY16+AZ16+BA16+BB16+BC16+BD16+BE16+BF16+BG16+BI16+BJ16+BH16</f>
        <v>640259</v>
      </c>
      <c r="BL16" s="58"/>
      <c r="BM16" s="91"/>
      <c r="BN16" s="67">
        <f t="shared" si="5"/>
        <v>1894.26</v>
      </c>
      <c r="BO16" s="81">
        <f t="shared" si="16"/>
        <v>296216</v>
      </c>
      <c r="BP16" s="81">
        <f t="shared" si="16"/>
        <v>90215</v>
      </c>
      <c r="BQ16" s="81">
        <f>AB16+AC16+AD16+AE16</f>
        <v>25392</v>
      </c>
      <c r="BR16" s="81">
        <f>BI16</f>
        <v>202500</v>
      </c>
      <c r="BS16" s="81">
        <f>BG16+BH16</f>
        <v>0</v>
      </c>
      <c r="BT16" s="81">
        <f>AN16+AO16+AP16+AQ16+AR16+AS16+AU16+AV16+AW16+AX16+AY16+AZ16+BA16+BB16+BC16+BD16+BE16+BF16+BJ16</f>
        <v>25936</v>
      </c>
      <c r="BU16" s="58">
        <f>BO16+BP16+BQ16+BR16+BS16+BT16</f>
        <v>640259</v>
      </c>
    </row>
    <row r="17" spans="1:73" ht="89.25" customHeight="1">
      <c r="A17" s="51" t="s">
        <v>260</v>
      </c>
      <c r="B17" s="51" t="s">
        <v>281</v>
      </c>
      <c r="C17" s="155"/>
      <c r="D17" s="155" t="s">
        <v>385</v>
      </c>
      <c r="E17" s="228" t="s">
        <v>278</v>
      </c>
      <c r="F17" s="324">
        <v>94</v>
      </c>
      <c r="G17" s="62" t="s">
        <v>78</v>
      </c>
      <c r="H17" s="53">
        <f t="shared" si="0"/>
        <v>4924.8770000000004</v>
      </c>
      <c r="I17" s="53">
        <f>ROUND((Z17+AA17)/F17,2)</f>
        <v>0</v>
      </c>
      <c r="J17" s="53">
        <f t="shared" si="1"/>
        <v>4924.8770000000004</v>
      </c>
      <c r="K17" s="58">
        <f>ROUND((AN17-AM17)/F17,2)</f>
        <v>20.3</v>
      </c>
      <c r="L17" s="53">
        <f>ROUND((AO17+AP17+AQ17+AR17+AS17)/F17,2)</f>
        <v>0</v>
      </c>
      <c r="M17" s="53">
        <f>ROUND((AU17+AV17+AW17+AX17+AY17)/F17,2)</f>
        <v>0</v>
      </c>
      <c r="N17" s="53">
        <f t="shared" si="13"/>
        <v>0</v>
      </c>
      <c r="O17" s="54">
        <f t="shared" si="14"/>
        <v>0</v>
      </c>
      <c r="P17" s="54">
        <f t="shared" si="15"/>
        <v>0</v>
      </c>
      <c r="Q17" s="54">
        <f>ROUND(BI17/F17,2)</f>
        <v>598.4</v>
      </c>
      <c r="R17" s="153">
        <f t="shared" si="6"/>
        <v>0</v>
      </c>
      <c r="S17" s="53">
        <f t="shared" si="2"/>
        <v>5543.5770000000002</v>
      </c>
      <c r="T17" s="53">
        <f>ROUND((AB17+AD17+AE17)/F17,2)</f>
        <v>0</v>
      </c>
      <c r="U17" s="53">
        <f t="shared" si="3"/>
        <v>0</v>
      </c>
      <c r="V17" s="170">
        <f t="shared" si="4"/>
        <v>5543.5770000000002</v>
      </c>
      <c r="W17" s="361" t="s">
        <v>78</v>
      </c>
      <c r="X17" s="15">
        <v>355559</v>
      </c>
      <c r="Y17" s="15">
        <v>107379.42</v>
      </c>
      <c r="Z17" s="58"/>
      <c r="AA17" s="58"/>
      <c r="AB17" s="58"/>
      <c r="AC17" s="58"/>
      <c r="AD17" s="58"/>
      <c r="AE17" s="58"/>
      <c r="AF17" s="58">
        <v>1907.95</v>
      </c>
      <c r="AG17" s="58"/>
      <c r="AH17" s="15"/>
      <c r="AI17" s="58"/>
      <c r="AJ17" s="58"/>
      <c r="AK17" s="58"/>
      <c r="AL17" s="58"/>
      <c r="AM17" s="58"/>
      <c r="AN17" s="58">
        <f>AF17+AG17+AH17+AI17+AJ17+AK17+AM17+AL17</f>
        <v>1907.95</v>
      </c>
      <c r="AO17" s="58"/>
      <c r="AP17" s="58"/>
      <c r="AQ17" s="58"/>
      <c r="AR17" s="58"/>
      <c r="AS17" s="58"/>
      <c r="AT17" s="361" t="s">
        <v>78</v>
      </c>
      <c r="AU17" s="58">
        <v>0</v>
      </c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15">
        <v>56250</v>
      </c>
      <c r="BJ17" s="58"/>
      <c r="BK17" s="91">
        <f>X17+Y17+Z17+AA17+AB17+AD17+AE17+AN17+AO17+AP17+AQ17+AR17+AU17+AV17+AW17+AX17+AY17+AZ17+BA17+BB17+BC17+BD17+BE17+BF17+BG17+BI17+BJ17+BH17</f>
        <v>521096.37</v>
      </c>
      <c r="BL17" s="58"/>
      <c r="BM17" s="91"/>
      <c r="BN17" s="67">
        <f t="shared" si="5"/>
        <v>5543.58</v>
      </c>
      <c r="BO17" s="81">
        <f t="shared" si="16"/>
        <v>355559</v>
      </c>
      <c r="BP17" s="81">
        <f t="shared" si="16"/>
        <v>107379.42</v>
      </c>
      <c r="BQ17" s="81">
        <f>AB17+AC17+AD17+AE17</f>
        <v>0</v>
      </c>
      <c r="BR17" s="81">
        <f>BI17</f>
        <v>56250</v>
      </c>
      <c r="BS17" s="81">
        <f>BG17+BH17</f>
        <v>0</v>
      </c>
      <c r="BT17" s="81">
        <f>AN17+AO17+AP17+AQ17+AR17+AS17+AU17+AV17+AW17+AX17+AY17+AZ17+BA17+BB17+BC17+BD17+BE17+BF17+BJ17</f>
        <v>1907.95</v>
      </c>
      <c r="BU17" s="58">
        <f>BO17+BP17+BQ17+BR17+BS17+BT17</f>
        <v>521096.37</v>
      </c>
    </row>
    <row r="18" spans="1:73" s="98" customFormat="1" ht="35.25" customHeight="1">
      <c r="A18" s="457" t="s">
        <v>264</v>
      </c>
      <c r="B18" s="458"/>
      <c r="C18" s="458"/>
      <c r="D18" s="458"/>
      <c r="E18" s="459"/>
      <c r="F18" s="459">
        <f>F15+F16+F17</f>
        <v>712</v>
      </c>
      <c r="G18" s="460"/>
      <c r="H18" s="461">
        <f t="shared" si="0"/>
        <v>3865.9630000000002</v>
      </c>
      <c r="I18" s="461">
        <f>ROUND((Z18+AA18)/F18,3)</f>
        <v>804.02499999999998</v>
      </c>
      <c r="J18" s="461">
        <f t="shared" si="1"/>
        <v>4669.9880000000003</v>
      </c>
      <c r="K18" s="462">
        <f>ROUND((AN18-AM18)/F18,2)</f>
        <v>98.05</v>
      </c>
      <c r="L18" s="461">
        <f>ROUND((AO18+AP18+AQ18+AR18+AS18)/F18,3)</f>
        <v>61.235999999999997</v>
      </c>
      <c r="M18" s="461">
        <f>ROUND((AU18+AV18+AW18+AX18+AY18)/F18,3)</f>
        <v>0</v>
      </c>
      <c r="N18" s="461">
        <f t="shared" si="13"/>
        <v>0</v>
      </c>
      <c r="O18" s="463">
        <f t="shared" si="14"/>
        <v>0</v>
      </c>
      <c r="P18" s="463">
        <f t="shared" si="15"/>
        <v>0</v>
      </c>
      <c r="Q18" s="463">
        <f>ROUND(BI18/F18,3)</f>
        <v>711.524</v>
      </c>
      <c r="R18" s="464">
        <f t="shared" si="6"/>
        <v>19.588000000000001</v>
      </c>
      <c r="S18" s="461">
        <f t="shared" si="2"/>
        <v>5560.3860000000004</v>
      </c>
      <c r="T18" s="461">
        <f>ROUND((AB18+AD18+AE18)/F18,3)</f>
        <v>231.90299999999999</v>
      </c>
      <c r="U18" s="461">
        <f t="shared" si="3"/>
        <v>0</v>
      </c>
      <c r="V18" s="467">
        <f t="shared" si="4"/>
        <v>5792.2890000000007</v>
      </c>
      <c r="W18" s="472"/>
      <c r="X18" s="467">
        <f t="shared" ref="X18:AS18" si="17">X15+X16+X17</f>
        <v>2104144.0099999998</v>
      </c>
      <c r="Y18" s="467">
        <f t="shared" si="17"/>
        <v>648421.92000000004</v>
      </c>
      <c r="Z18" s="467">
        <f t="shared" si="17"/>
        <v>439681.49</v>
      </c>
      <c r="AA18" s="467">
        <f t="shared" si="17"/>
        <v>132784</v>
      </c>
      <c r="AB18" s="467">
        <f t="shared" si="17"/>
        <v>94963</v>
      </c>
      <c r="AC18" s="467">
        <f t="shared" si="17"/>
        <v>0</v>
      </c>
      <c r="AD18" s="467">
        <f t="shared" si="17"/>
        <v>40192</v>
      </c>
      <c r="AE18" s="467">
        <f t="shared" si="17"/>
        <v>29960</v>
      </c>
      <c r="AF18" s="467">
        <f t="shared" si="17"/>
        <v>16053.95</v>
      </c>
      <c r="AG18" s="467">
        <f t="shared" si="17"/>
        <v>0</v>
      </c>
      <c r="AH18" s="467">
        <f t="shared" si="17"/>
        <v>1665</v>
      </c>
      <c r="AI18" s="467">
        <f t="shared" si="17"/>
        <v>0</v>
      </c>
      <c r="AJ18" s="467">
        <f t="shared" si="17"/>
        <v>0</v>
      </c>
      <c r="AK18" s="467">
        <f t="shared" si="17"/>
        <v>48758</v>
      </c>
      <c r="AL18" s="467">
        <f t="shared" si="17"/>
        <v>3335</v>
      </c>
      <c r="AM18" s="467">
        <f t="shared" si="17"/>
        <v>13947</v>
      </c>
      <c r="AN18" s="467">
        <f t="shared" si="17"/>
        <v>83758.95</v>
      </c>
      <c r="AO18" s="467">
        <f t="shared" si="17"/>
        <v>1600</v>
      </c>
      <c r="AP18" s="467">
        <f t="shared" si="17"/>
        <v>0</v>
      </c>
      <c r="AQ18" s="467">
        <f t="shared" si="17"/>
        <v>42000</v>
      </c>
      <c r="AR18" s="467">
        <f t="shared" si="17"/>
        <v>0</v>
      </c>
      <c r="AS18" s="467">
        <f t="shared" si="17"/>
        <v>0</v>
      </c>
      <c r="AT18" s="472"/>
      <c r="AU18" s="467"/>
      <c r="AV18" s="467">
        <f t="shared" ref="AV18:BK18" si="18">AV15+AV16+AV17</f>
        <v>0</v>
      </c>
      <c r="AW18" s="467">
        <f t="shared" si="18"/>
        <v>0</v>
      </c>
      <c r="AX18" s="467">
        <f t="shared" si="18"/>
        <v>0</v>
      </c>
      <c r="AY18" s="467">
        <f t="shared" si="18"/>
        <v>0</v>
      </c>
      <c r="AZ18" s="467">
        <f t="shared" si="18"/>
        <v>0</v>
      </c>
      <c r="BA18" s="467">
        <f t="shared" si="18"/>
        <v>0</v>
      </c>
      <c r="BB18" s="467">
        <f t="shared" si="18"/>
        <v>0</v>
      </c>
      <c r="BC18" s="467">
        <f t="shared" si="18"/>
        <v>0</v>
      </c>
      <c r="BD18" s="467">
        <f t="shared" si="18"/>
        <v>0</v>
      </c>
      <c r="BE18" s="467">
        <f t="shared" si="18"/>
        <v>0</v>
      </c>
      <c r="BF18" s="467">
        <f t="shared" si="18"/>
        <v>0</v>
      </c>
      <c r="BG18" s="467">
        <f t="shared" si="18"/>
        <v>0</v>
      </c>
      <c r="BH18" s="467">
        <f t="shared" si="18"/>
        <v>0</v>
      </c>
      <c r="BI18" s="467">
        <f t="shared" si="18"/>
        <v>506605</v>
      </c>
      <c r="BJ18" s="467">
        <f t="shared" si="18"/>
        <v>0</v>
      </c>
      <c r="BK18" s="467">
        <f t="shared" si="18"/>
        <v>4124110.37</v>
      </c>
      <c r="BL18" s="170"/>
      <c r="BM18" s="170"/>
      <c r="BN18" s="67">
        <f t="shared" si="5"/>
        <v>5792.29</v>
      </c>
      <c r="BO18" s="170">
        <f>BO15+BO16+BO17</f>
        <v>2543825.5</v>
      </c>
      <c r="BP18" s="170">
        <f t="shared" ref="BP18:BU18" si="19">BP15+BP16+BP17</f>
        <v>781205.92</v>
      </c>
      <c r="BQ18" s="170">
        <f t="shared" si="19"/>
        <v>165115</v>
      </c>
      <c r="BR18" s="170">
        <f t="shared" si="19"/>
        <v>506605</v>
      </c>
      <c r="BS18" s="170">
        <f t="shared" si="19"/>
        <v>0</v>
      </c>
      <c r="BT18" s="170">
        <f t="shared" si="19"/>
        <v>127358.95</v>
      </c>
      <c r="BU18" s="170">
        <f t="shared" si="19"/>
        <v>4124110.37</v>
      </c>
    </row>
    <row r="19" spans="1:73" ht="129" customHeight="1">
      <c r="A19" s="51" t="s">
        <v>260</v>
      </c>
      <c r="B19" s="51" t="s">
        <v>280</v>
      </c>
      <c r="C19" s="155"/>
      <c r="D19" s="155" t="s">
        <v>385</v>
      </c>
      <c r="E19" s="228" t="s">
        <v>278</v>
      </c>
      <c r="F19" s="229">
        <v>29</v>
      </c>
      <c r="G19" s="88" t="s">
        <v>95</v>
      </c>
      <c r="H19" s="53">
        <f>ROUND((X19+Y19)/F19,2)</f>
        <v>7377.65</v>
      </c>
      <c r="I19" s="53">
        <f>ROUND((Z19+AA19)/F19,2)</f>
        <v>0</v>
      </c>
      <c r="J19" s="53">
        <f t="shared" si="1"/>
        <v>7377.65</v>
      </c>
      <c r="K19" s="58">
        <f>ROUND((AN19-AM19)/F19,2)</f>
        <v>191.38</v>
      </c>
      <c r="L19" s="53">
        <f>ROUND((AO19+AP19+AQ19+AR19+AS19)/F19,2)</f>
        <v>0</v>
      </c>
      <c r="M19" s="53">
        <f>ROUND((AU19+AV19+AW19+AX19+AY19)/F19,2)</f>
        <v>0</v>
      </c>
      <c r="N19" s="53">
        <f t="shared" si="13"/>
        <v>0</v>
      </c>
      <c r="O19" s="54">
        <f t="shared" si="14"/>
        <v>0</v>
      </c>
      <c r="P19" s="54">
        <f t="shared" si="15"/>
        <v>0</v>
      </c>
      <c r="Q19" s="54">
        <f>ROUND(BI19/F19,2)</f>
        <v>558.1</v>
      </c>
      <c r="R19" s="153">
        <f t="shared" si="6"/>
        <v>119.621</v>
      </c>
      <c r="S19" s="53">
        <f t="shared" si="2"/>
        <v>8246.7510000000002</v>
      </c>
      <c r="T19" s="53">
        <f>ROUND((AB19+AD19+AE19)/F19,2)</f>
        <v>3666.89</v>
      </c>
      <c r="U19" s="53">
        <f t="shared" si="3"/>
        <v>0</v>
      </c>
      <c r="V19" s="91">
        <f t="shared" si="4"/>
        <v>11913.641</v>
      </c>
      <c r="W19" s="153" t="s">
        <v>95</v>
      </c>
      <c r="X19" s="58">
        <v>164344.92000000001</v>
      </c>
      <c r="Y19" s="58">
        <v>49607.07</v>
      </c>
      <c r="Z19" s="58"/>
      <c r="AA19" s="58"/>
      <c r="AB19" s="58">
        <v>41620</v>
      </c>
      <c r="AC19" s="58"/>
      <c r="AD19" s="58">
        <v>45305</v>
      </c>
      <c r="AE19" s="58">
        <v>19414.7</v>
      </c>
      <c r="AF19" s="58">
        <v>5550</v>
      </c>
      <c r="AG19" s="58"/>
      <c r="AH19" s="58"/>
      <c r="AI19" s="58"/>
      <c r="AJ19" s="58"/>
      <c r="AK19" s="58"/>
      <c r="AL19" s="58"/>
      <c r="AM19" s="58">
        <v>3469</v>
      </c>
      <c r="AN19" s="58">
        <f>AF19+AG19+AH19+AI19+AJ19+AK19+AM19+AL19</f>
        <v>9019</v>
      </c>
      <c r="AO19" s="58"/>
      <c r="AP19" s="58"/>
      <c r="AQ19" s="58"/>
      <c r="AR19" s="58"/>
      <c r="AS19" s="58"/>
      <c r="AT19" s="153" t="s">
        <v>95</v>
      </c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>
        <v>16185</v>
      </c>
      <c r="BJ19" s="58"/>
      <c r="BK19" s="91">
        <f>X19+Y19+Z19+AA19+AB19+AD19+AE19+AN19+AO19+AP19+AQ19+AR19+AU19+AV19+AW19+AX19+AY19+AZ19+BA19+BB19+BC19+BD19+BE19+BF19+BG19+BI19+BJ19+BH19+AC19</f>
        <v>345495.69</v>
      </c>
      <c r="BL19" s="58"/>
      <c r="BM19" s="91"/>
      <c r="BN19" s="67">
        <f t="shared" si="5"/>
        <v>11913.64</v>
      </c>
      <c r="BO19" s="58">
        <f>X19+Z19</f>
        <v>164344.92000000001</v>
      </c>
      <c r="BP19" s="58">
        <f>Y19+AA19</f>
        <v>49607.07</v>
      </c>
      <c r="BQ19" s="58">
        <f>AB19+AC19+AD19+AE19</f>
        <v>106339.7</v>
      </c>
      <c r="BR19" s="58">
        <f>BI19</f>
        <v>16185</v>
      </c>
      <c r="BS19" s="58">
        <f>BG19+BH19</f>
        <v>0</v>
      </c>
      <c r="BT19" s="58">
        <f>AN19+AO19+AP19+AQ19+AR19+AS19+AU19+AV19+AW19+AX19+AY19+AZ19+BA19+BB19+BC19+BD19+BE19+BF19+BJ19</f>
        <v>9019</v>
      </c>
      <c r="BU19" s="58">
        <f>BO19+BP19+BQ19+BR19+BS19+BT19</f>
        <v>345495.69</v>
      </c>
    </row>
    <row r="20" spans="1:73" ht="32.25" customHeight="1">
      <c r="A20" s="457" t="s">
        <v>265</v>
      </c>
      <c r="B20" s="468"/>
      <c r="C20" s="468"/>
      <c r="D20" s="468"/>
      <c r="E20" s="469"/>
      <c r="F20" s="470">
        <f>F19</f>
        <v>29</v>
      </c>
      <c r="G20" s="468"/>
      <c r="H20" s="461">
        <f>ROUND((X20+Y20)/F20,3)</f>
        <v>7377.6549999999997</v>
      </c>
      <c r="I20" s="461">
        <f>ROUND((Z20+AA20)/F20,2)</f>
        <v>0</v>
      </c>
      <c r="J20" s="461">
        <f t="shared" si="1"/>
        <v>7377.6549999999997</v>
      </c>
      <c r="K20" s="462">
        <f>ROUND((AN20-AM20)/F20,3)</f>
        <v>191.37899999999999</v>
      </c>
      <c r="L20" s="461">
        <f>ROUND((AO20+AP20+AQ20+AR20+AS20)/F20,2)</f>
        <v>0</v>
      </c>
      <c r="M20" s="461">
        <f>ROUND((AU20+AV20+AW20+AX20+AY20)/F20,2)</f>
        <v>0</v>
      </c>
      <c r="N20" s="461">
        <f t="shared" si="13"/>
        <v>0</v>
      </c>
      <c r="O20" s="463">
        <f t="shared" si="14"/>
        <v>0</v>
      </c>
      <c r="P20" s="463">
        <f t="shared" si="15"/>
        <v>0</v>
      </c>
      <c r="Q20" s="463">
        <f>ROUND(BI20/F20,3)</f>
        <v>558.10299999999995</v>
      </c>
      <c r="R20" s="464">
        <f t="shared" si="6"/>
        <v>119.621</v>
      </c>
      <c r="S20" s="461">
        <f t="shared" si="2"/>
        <v>8246.7579999999998</v>
      </c>
      <c r="T20" s="461">
        <f>ROUND((AB20+AD20+AE20)/F20,3)</f>
        <v>3666.886</v>
      </c>
      <c r="U20" s="461">
        <f t="shared" si="3"/>
        <v>0</v>
      </c>
      <c r="V20" s="467">
        <f t="shared" si="4"/>
        <v>11913.644</v>
      </c>
      <c r="W20" s="467"/>
      <c r="X20" s="467">
        <f>X19</f>
        <v>164344.92000000001</v>
      </c>
      <c r="Y20" s="467">
        <f t="shared" ref="Y20:AS20" si="20">Y19</f>
        <v>49607.07</v>
      </c>
      <c r="Z20" s="467">
        <f t="shared" si="20"/>
        <v>0</v>
      </c>
      <c r="AA20" s="467">
        <f t="shared" si="20"/>
        <v>0</v>
      </c>
      <c r="AB20" s="467">
        <f t="shared" si="20"/>
        <v>41620</v>
      </c>
      <c r="AC20" s="467">
        <f t="shared" si="20"/>
        <v>0</v>
      </c>
      <c r="AD20" s="467">
        <f t="shared" si="20"/>
        <v>45305</v>
      </c>
      <c r="AE20" s="467">
        <f t="shared" si="20"/>
        <v>19414.7</v>
      </c>
      <c r="AF20" s="467">
        <f t="shared" si="20"/>
        <v>5550</v>
      </c>
      <c r="AG20" s="467">
        <f t="shared" si="20"/>
        <v>0</v>
      </c>
      <c r="AH20" s="467">
        <f t="shared" si="20"/>
        <v>0</v>
      </c>
      <c r="AI20" s="467">
        <f t="shared" si="20"/>
        <v>0</v>
      </c>
      <c r="AJ20" s="467">
        <f t="shared" si="20"/>
        <v>0</v>
      </c>
      <c r="AK20" s="467">
        <f t="shared" si="20"/>
        <v>0</v>
      </c>
      <c r="AL20" s="467">
        <f t="shared" si="20"/>
        <v>0</v>
      </c>
      <c r="AM20" s="467">
        <f t="shared" si="20"/>
        <v>3469</v>
      </c>
      <c r="AN20" s="467">
        <f t="shared" si="20"/>
        <v>9019</v>
      </c>
      <c r="AO20" s="467">
        <f t="shared" si="20"/>
        <v>0</v>
      </c>
      <c r="AP20" s="467">
        <f t="shared" si="20"/>
        <v>0</v>
      </c>
      <c r="AQ20" s="467">
        <f t="shared" si="20"/>
        <v>0</v>
      </c>
      <c r="AR20" s="467">
        <f t="shared" si="20"/>
        <v>0</v>
      </c>
      <c r="AS20" s="467">
        <f t="shared" si="20"/>
        <v>0</v>
      </c>
      <c r="AT20" s="467"/>
      <c r="AU20" s="467"/>
      <c r="AV20" s="467">
        <f t="shared" ref="AV20:BQ20" si="21">AV19</f>
        <v>0</v>
      </c>
      <c r="AW20" s="467">
        <f t="shared" si="21"/>
        <v>0</v>
      </c>
      <c r="AX20" s="467">
        <f t="shared" si="21"/>
        <v>0</v>
      </c>
      <c r="AY20" s="467">
        <f t="shared" si="21"/>
        <v>0</v>
      </c>
      <c r="AZ20" s="467">
        <f t="shared" si="21"/>
        <v>0</v>
      </c>
      <c r="BA20" s="467">
        <f t="shared" si="21"/>
        <v>0</v>
      </c>
      <c r="BB20" s="467">
        <f t="shared" si="21"/>
        <v>0</v>
      </c>
      <c r="BC20" s="467">
        <f t="shared" si="21"/>
        <v>0</v>
      </c>
      <c r="BD20" s="467">
        <f t="shared" si="21"/>
        <v>0</v>
      </c>
      <c r="BE20" s="467">
        <f t="shared" si="21"/>
        <v>0</v>
      </c>
      <c r="BF20" s="467">
        <f t="shared" si="21"/>
        <v>0</v>
      </c>
      <c r="BG20" s="467">
        <f t="shared" si="21"/>
        <v>0</v>
      </c>
      <c r="BH20" s="467">
        <f t="shared" si="21"/>
        <v>0</v>
      </c>
      <c r="BI20" s="467">
        <f t="shared" si="21"/>
        <v>16185</v>
      </c>
      <c r="BJ20" s="467">
        <f t="shared" si="21"/>
        <v>0</v>
      </c>
      <c r="BK20" s="467">
        <f t="shared" si="21"/>
        <v>345495.69</v>
      </c>
      <c r="BL20" s="170">
        <f t="shared" si="21"/>
        <v>0</v>
      </c>
      <c r="BM20" s="170">
        <f t="shared" si="21"/>
        <v>0</v>
      </c>
      <c r="BN20" s="67">
        <f t="shared" si="21"/>
        <v>11913.64</v>
      </c>
      <c r="BO20" s="617">
        <f t="shared" si="21"/>
        <v>164344.92000000001</v>
      </c>
      <c r="BP20" s="617">
        <f t="shared" si="21"/>
        <v>49607.07</v>
      </c>
      <c r="BQ20" s="617">
        <f t="shared" si="21"/>
        <v>106339.7</v>
      </c>
      <c r="BR20" s="618">
        <f>BR19</f>
        <v>16185</v>
      </c>
      <c r="BS20" s="618">
        <f>BS19</f>
        <v>0</v>
      </c>
      <c r="BT20" s="618">
        <f>BT19</f>
        <v>9019</v>
      </c>
      <c r="BU20" s="618">
        <f>BU19</f>
        <v>345495.69</v>
      </c>
    </row>
    <row r="21" spans="1:73" ht="27.75" customHeight="1">
      <c r="A21" s="235"/>
      <c r="B21" s="934" t="s">
        <v>279</v>
      </c>
      <c r="C21" s="935"/>
      <c r="D21" s="936"/>
      <c r="E21" s="936"/>
      <c r="F21" s="936"/>
      <c r="G21" s="936"/>
      <c r="H21" s="936"/>
      <c r="I21" s="936"/>
      <c r="J21" s="936"/>
      <c r="K21" s="936"/>
      <c r="L21" s="936"/>
      <c r="M21" s="936"/>
      <c r="N21" s="936"/>
      <c r="O21" s="936"/>
      <c r="P21" s="936"/>
      <c r="Q21" s="936"/>
      <c r="R21" s="936"/>
      <c r="S21" s="936"/>
      <c r="T21" s="936"/>
      <c r="U21" s="936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248"/>
      <c r="BP21" s="248"/>
      <c r="BQ21" s="248"/>
      <c r="BR21" s="248"/>
      <c r="BS21" s="248"/>
      <c r="BT21" s="248"/>
      <c r="BU21" s="249"/>
    </row>
    <row r="22" spans="1:73" ht="129" customHeight="1">
      <c r="A22" s="156" t="s">
        <v>242</v>
      </c>
      <c r="B22" s="156" t="s">
        <v>197</v>
      </c>
      <c r="C22" s="155" t="s">
        <v>173</v>
      </c>
      <c r="D22" s="155" t="s">
        <v>385</v>
      </c>
      <c r="E22" s="228" t="s">
        <v>278</v>
      </c>
      <c r="F22" s="234">
        <v>375</v>
      </c>
      <c r="G22" s="88" t="s">
        <v>224</v>
      </c>
      <c r="H22" s="53">
        <f>ROUND((X22+Y22)/F22,3)</f>
        <v>6138.3010000000004</v>
      </c>
      <c r="I22" s="53">
        <f>ROUND((Z22+AA22)/F22,3)</f>
        <v>4044.4</v>
      </c>
      <c r="J22" s="53">
        <f t="shared" ref="J22:J28" si="22">H22+I22</f>
        <v>10182.701000000001</v>
      </c>
      <c r="K22" s="58">
        <f>ROUND((AN22-AM22)/F22,3)</f>
        <v>9.2750000000000004</v>
      </c>
      <c r="L22" s="53">
        <f>ROUND((AO22+AP22+AQ22+AR22+AS22)/F22,3)</f>
        <v>92.944000000000003</v>
      </c>
      <c r="M22" s="53">
        <f>ROUND((AU22+AV22+AW22+AX22+AY22)/F22,3)</f>
        <v>69.117000000000004</v>
      </c>
      <c r="N22" s="53">
        <f>ROUND((BB22+BC22+BD22+BE22+BF22)/F22,3)</f>
        <v>0</v>
      </c>
      <c r="O22" s="54">
        <f>ROUND(BG22/F22,2)</f>
        <v>0</v>
      </c>
      <c r="P22" s="54">
        <f>ROUND(BH22/F22,2)</f>
        <v>0</v>
      </c>
      <c r="Q22" s="54">
        <f>ROUND(BI22/F22,3)</f>
        <v>2462.027</v>
      </c>
      <c r="R22" s="153">
        <f t="shared" si="6"/>
        <v>0</v>
      </c>
      <c r="S22" s="53">
        <f t="shared" ref="S22:S28" si="23">R22+Q22+O22+N22+M22+L22+K22+J22+P22</f>
        <v>12816.064000000002</v>
      </c>
      <c r="T22" s="53">
        <f>ROUND((AB22+AD22+AE22)/F22,3)</f>
        <v>252.96299999999999</v>
      </c>
      <c r="U22" s="53">
        <f t="shared" ref="U22:U28" si="24">ROUND(AZ22/F22,2)</f>
        <v>0</v>
      </c>
      <c r="V22" s="170">
        <f t="shared" ref="V22:V28" si="25">S22+T22+U22</f>
        <v>13069.027000000002</v>
      </c>
      <c r="W22" s="153" t="s">
        <v>224</v>
      </c>
      <c r="X22" s="15">
        <v>1759186</v>
      </c>
      <c r="Y22" s="15">
        <f>ROUND(X22/100*30.848,0)+3.05</f>
        <v>542677.05000000005</v>
      </c>
      <c r="Z22" s="15">
        <v>1159092.8799999999</v>
      </c>
      <c r="AA22" s="15">
        <f>ROUND(Z22/100*30.848,0)</f>
        <v>357557</v>
      </c>
      <c r="AB22" s="15">
        <v>46768</v>
      </c>
      <c r="AC22" s="15"/>
      <c r="AD22" s="15">
        <v>45279</v>
      </c>
      <c r="AE22" s="15">
        <v>2814</v>
      </c>
      <c r="AF22" s="58">
        <v>3478.2</v>
      </c>
      <c r="AG22" s="58"/>
      <c r="AH22" s="58"/>
      <c r="AI22" s="58"/>
      <c r="AJ22" s="58"/>
      <c r="AK22" s="58"/>
      <c r="AL22" s="58"/>
      <c r="AM22" s="58"/>
      <c r="AN22" s="58">
        <f>AF22+AG22+AH22+AI22+AJ22+AK22+AM22+AL22</f>
        <v>3478.2</v>
      </c>
      <c r="AO22" s="58"/>
      <c r="AP22" s="58"/>
      <c r="AQ22" s="15">
        <v>22200</v>
      </c>
      <c r="AR22" s="58">
        <v>12654</v>
      </c>
      <c r="AS22" s="58"/>
      <c r="AT22" s="153" t="s">
        <v>224</v>
      </c>
      <c r="AU22" s="58"/>
      <c r="AV22" s="15">
        <v>14742</v>
      </c>
      <c r="AW22" s="58">
        <v>11177</v>
      </c>
      <c r="AX22" s="58"/>
      <c r="AY22" s="58"/>
      <c r="AZ22" s="58"/>
      <c r="BA22" s="58"/>
      <c r="BB22" s="58"/>
      <c r="BC22" s="15"/>
      <c r="BD22" s="58"/>
      <c r="BE22" s="58"/>
      <c r="BF22" s="58"/>
      <c r="BG22" s="58"/>
      <c r="BH22" s="58"/>
      <c r="BI22" s="15">
        <v>923260</v>
      </c>
      <c r="BJ22" s="58"/>
      <c r="BK22" s="91">
        <f>X22+Y22+Z22+AA22+AB22+AD22+AE22+AN22+AO22+AP22+AQ22+AR22+AU22+AV22+AW22+AX22+AY22+AZ22+BA22+BB22+BC22+BD22+BE22+BF22+BG22+BI22+BJ22+BH22</f>
        <v>4900885.13</v>
      </c>
      <c r="BL22" s="58"/>
      <c r="BM22" s="91"/>
      <c r="BN22" s="67">
        <f>ROUND(BK22/F22,3)</f>
        <v>13069.027</v>
      </c>
      <c r="BO22" s="81">
        <f>X22+Z22</f>
        <v>2918278.88</v>
      </c>
      <c r="BP22" s="81">
        <f>Y22+AA22</f>
        <v>900234.05</v>
      </c>
      <c r="BQ22" s="81">
        <f>AB22+AC22+AD22+AE22</f>
        <v>94861</v>
      </c>
      <c r="BR22" s="81">
        <f>BI22</f>
        <v>923260</v>
      </c>
      <c r="BS22" s="81">
        <f>BG22+BH22</f>
        <v>0</v>
      </c>
      <c r="BT22" s="81">
        <f>AN22+AO22+AP22+AQ22+AR22+AS22+AU22+AV22+AW22+AX22+AY22+AZ22+BA22+BB22+BC22+BD22+BE22+BF22+BJ22</f>
        <v>64251.199999999997</v>
      </c>
      <c r="BU22" s="58">
        <f>BO22+BP22+BQ22+BR22+BS22+BT22</f>
        <v>4900885.13</v>
      </c>
    </row>
    <row r="23" spans="1:73" s="98" customFormat="1" ht="36" customHeight="1">
      <c r="A23" s="457" t="s">
        <v>262</v>
      </c>
      <c r="B23" s="471"/>
      <c r="C23" s="458"/>
      <c r="D23" s="458"/>
      <c r="E23" s="459"/>
      <c r="F23" s="459">
        <f>F22</f>
        <v>375</v>
      </c>
      <c r="G23" s="460"/>
      <c r="H23" s="461">
        <f>ROUND((X23+Y23)/F23,3)</f>
        <v>6138.3010000000004</v>
      </c>
      <c r="I23" s="461">
        <f>ROUND((Z23+AA23)/F23,3)</f>
        <v>4044.4</v>
      </c>
      <c r="J23" s="461">
        <f t="shared" si="22"/>
        <v>10182.701000000001</v>
      </c>
      <c r="K23" s="462">
        <f>ROUND((AN23-AM23)/F23,3)</f>
        <v>9.2750000000000004</v>
      </c>
      <c r="L23" s="461">
        <f>ROUND((AO23+AP23+AQ23+AR23+AS23)/F23,2)</f>
        <v>92.94</v>
      </c>
      <c r="M23" s="461">
        <f>ROUND((AU23+AV23+AW23+AX23+AY23)/F23,2)</f>
        <v>69.12</v>
      </c>
      <c r="N23" s="461">
        <f>ROUND((BB23+BC23+BD23+BE23+BF23)/F23,2)</f>
        <v>0</v>
      </c>
      <c r="O23" s="463">
        <f>ROUND(BG23/F23,2)</f>
        <v>0</v>
      </c>
      <c r="P23" s="463">
        <f>ROUND(BH23/F23,2)</f>
        <v>0</v>
      </c>
      <c r="Q23" s="463">
        <f>ROUND(BI23/F23,2)</f>
        <v>2462.0300000000002</v>
      </c>
      <c r="R23" s="464">
        <f t="shared" si="6"/>
        <v>0</v>
      </c>
      <c r="S23" s="461">
        <f t="shared" si="23"/>
        <v>12816.066000000001</v>
      </c>
      <c r="T23" s="461">
        <f>ROUND((AB23+AD23+AE23)/F23,2)</f>
        <v>252.96</v>
      </c>
      <c r="U23" s="461">
        <f t="shared" si="24"/>
        <v>0</v>
      </c>
      <c r="V23" s="467">
        <f t="shared" si="25"/>
        <v>13069.026</v>
      </c>
      <c r="W23" s="472"/>
      <c r="X23" s="467">
        <f>X22</f>
        <v>1759186</v>
      </c>
      <c r="Y23" s="467">
        <f t="shared" ref="Y23:AE23" si="26">Y22</f>
        <v>542677.05000000005</v>
      </c>
      <c r="Z23" s="467">
        <f t="shared" si="26"/>
        <v>1159092.8799999999</v>
      </c>
      <c r="AA23" s="467">
        <f t="shared" si="26"/>
        <v>357557</v>
      </c>
      <c r="AB23" s="467">
        <f t="shared" si="26"/>
        <v>46768</v>
      </c>
      <c r="AC23" s="467">
        <f t="shared" si="26"/>
        <v>0</v>
      </c>
      <c r="AD23" s="467">
        <f t="shared" si="26"/>
        <v>45279</v>
      </c>
      <c r="AE23" s="467">
        <f t="shared" si="26"/>
        <v>2814</v>
      </c>
      <c r="AF23" s="467">
        <f t="shared" ref="AF23:AS23" si="27">AF22</f>
        <v>3478.2</v>
      </c>
      <c r="AG23" s="467">
        <f t="shared" si="27"/>
        <v>0</v>
      </c>
      <c r="AH23" s="467">
        <f t="shared" si="27"/>
        <v>0</v>
      </c>
      <c r="AI23" s="467">
        <f t="shared" si="27"/>
        <v>0</v>
      </c>
      <c r="AJ23" s="467">
        <f t="shared" si="27"/>
        <v>0</v>
      </c>
      <c r="AK23" s="467">
        <f t="shared" si="27"/>
        <v>0</v>
      </c>
      <c r="AL23" s="467">
        <f t="shared" si="27"/>
        <v>0</v>
      </c>
      <c r="AM23" s="467">
        <f t="shared" si="27"/>
        <v>0</v>
      </c>
      <c r="AN23" s="467">
        <f t="shared" si="27"/>
        <v>3478.2</v>
      </c>
      <c r="AO23" s="467">
        <f t="shared" si="27"/>
        <v>0</v>
      </c>
      <c r="AP23" s="467">
        <f t="shared" si="27"/>
        <v>0</v>
      </c>
      <c r="AQ23" s="467">
        <f t="shared" si="27"/>
        <v>22200</v>
      </c>
      <c r="AR23" s="467">
        <f t="shared" si="27"/>
        <v>12654</v>
      </c>
      <c r="AS23" s="467">
        <f t="shared" si="27"/>
        <v>0</v>
      </c>
      <c r="AT23" s="472"/>
      <c r="AU23" s="467"/>
      <c r="AV23" s="467">
        <f t="shared" ref="AV23:BK23" si="28">AV22</f>
        <v>14742</v>
      </c>
      <c r="AW23" s="467">
        <f t="shared" si="28"/>
        <v>11177</v>
      </c>
      <c r="AX23" s="467">
        <f t="shared" si="28"/>
        <v>0</v>
      </c>
      <c r="AY23" s="467">
        <f t="shared" si="28"/>
        <v>0</v>
      </c>
      <c r="AZ23" s="467">
        <f t="shared" si="28"/>
        <v>0</v>
      </c>
      <c r="BA23" s="467">
        <f t="shared" si="28"/>
        <v>0</v>
      </c>
      <c r="BB23" s="467">
        <f t="shared" si="28"/>
        <v>0</v>
      </c>
      <c r="BC23" s="467">
        <f t="shared" si="28"/>
        <v>0</v>
      </c>
      <c r="BD23" s="467">
        <f t="shared" si="28"/>
        <v>0</v>
      </c>
      <c r="BE23" s="467">
        <f t="shared" si="28"/>
        <v>0</v>
      </c>
      <c r="BF23" s="467">
        <f t="shared" si="28"/>
        <v>0</v>
      </c>
      <c r="BG23" s="467">
        <f t="shared" si="28"/>
        <v>0</v>
      </c>
      <c r="BH23" s="467">
        <f t="shared" si="28"/>
        <v>0</v>
      </c>
      <c r="BI23" s="467">
        <f t="shared" si="28"/>
        <v>923260</v>
      </c>
      <c r="BJ23" s="467">
        <f t="shared" si="28"/>
        <v>0</v>
      </c>
      <c r="BK23" s="467">
        <f t="shared" si="28"/>
        <v>4900885.13</v>
      </c>
      <c r="BL23" s="170"/>
      <c r="BM23" s="170"/>
      <c r="BN23" s="67">
        <f t="shared" ref="BN23:BN28" si="29">ROUND(BK23/F23,2)</f>
        <v>13069.03</v>
      </c>
      <c r="BO23" s="170">
        <f>BO22</f>
        <v>2918278.88</v>
      </c>
      <c r="BP23" s="170">
        <f t="shared" ref="BP23:BU23" si="30">BP22</f>
        <v>900234.05</v>
      </c>
      <c r="BQ23" s="170">
        <f t="shared" si="30"/>
        <v>94861</v>
      </c>
      <c r="BR23" s="170">
        <f t="shared" si="30"/>
        <v>923260</v>
      </c>
      <c r="BS23" s="170">
        <f t="shared" si="30"/>
        <v>0</v>
      </c>
      <c r="BT23" s="170">
        <f t="shared" si="30"/>
        <v>64251.199999999997</v>
      </c>
      <c r="BU23" s="170">
        <f t="shared" si="30"/>
        <v>4900885.13</v>
      </c>
    </row>
    <row r="24" spans="1:73" ht="138.75" customHeight="1">
      <c r="A24" s="156" t="s">
        <v>242</v>
      </c>
      <c r="B24" s="233" t="s">
        <v>197</v>
      </c>
      <c r="C24" s="236" t="s">
        <v>169</v>
      </c>
      <c r="D24" s="155" t="s">
        <v>385</v>
      </c>
      <c r="E24" s="228" t="s">
        <v>278</v>
      </c>
      <c r="F24" s="454">
        <v>0</v>
      </c>
      <c r="G24" s="201" t="s">
        <v>97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30">
        <v>0</v>
      </c>
      <c r="U24" s="230">
        <v>0</v>
      </c>
      <c r="V24" s="474">
        <f t="shared" si="25"/>
        <v>0</v>
      </c>
      <c r="W24" s="475" t="s">
        <v>97</v>
      </c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>
        <f>AF24+AG24+AH24+AI24+AJ24+AK24+AM24+AL24</f>
        <v>0</v>
      </c>
      <c r="AO24" s="208"/>
      <c r="AP24" s="208"/>
      <c r="AQ24" s="208"/>
      <c r="AR24" s="208"/>
      <c r="AS24" s="208"/>
      <c r="AT24" s="475" t="s">
        <v>97</v>
      </c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311">
        <f>X24+Y24+Z24+AA24+AB24+AD24+AE24+AN24+AO24+AP24+AQ24+AR24+AU24+AV24+AW24+AX24+AY24+AZ24+BA24+BB24+BC24+BD24+BE24+BF24+BG24+BI24+BJ24+BH24</f>
        <v>0</v>
      </c>
      <c r="BL24" s="208"/>
      <c r="BM24" s="311"/>
      <c r="BN24" s="232">
        <v>0</v>
      </c>
      <c r="BO24" s="207">
        <f>X24+Z24</f>
        <v>0</v>
      </c>
      <c r="BP24" s="207">
        <f>Y24+AA24</f>
        <v>0</v>
      </c>
      <c r="BQ24" s="207">
        <f>AB24+AC24+AD24+AE24</f>
        <v>0</v>
      </c>
      <c r="BR24" s="207">
        <f>BI24</f>
        <v>0</v>
      </c>
      <c r="BS24" s="207">
        <f>BG24+BH24</f>
        <v>0</v>
      </c>
      <c r="BT24" s="207">
        <f>AN24+AO24+AP24+AQ24+AR24+AS24+AU24+AV24+AW24+AX24+AY24+AZ24+BA24+BB24+BC24+BD24+BE24+BF24+BJ24</f>
        <v>0</v>
      </c>
      <c r="BU24" s="473">
        <f>BO24+BP24+BQ24+BR24+BS24+BT24</f>
        <v>0</v>
      </c>
    </row>
    <row r="25" spans="1:73" s="98" customFormat="1" ht="27.75" customHeight="1">
      <c r="A25" s="457" t="s">
        <v>313</v>
      </c>
      <c r="B25" s="471"/>
      <c r="C25" s="471"/>
      <c r="D25" s="458"/>
      <c r="E25" s="459"/>
      <c r="F25" s="459">
        <f>F24+F13</f>
        <v>114</v>
      </c>
      <c r="G25" s="460"/>
      <c r="H25" s="465">
        <f>ROUND((X25+Y25)/F25,3)</f>
        <v>29394.717000000001</v>
      </c>
      <c r="I25" s="465">
        <f>ROUND((Z25+AA25)/F25,2)</f>
        <v>0</v>
      </c>
      <c r="J25" s="465">
        <f t="shared" si="22"/>
        <v>29394.717000000001</v>
      </c>
      <c r="K25" s="467">
        <f>ROUND((AN25-AM25)/F25,3)</f>
        <v>179.035</v>
      </c>
      <c r="L25" s="465">
        <f>ROUND((AO25+AP25+AQ25+AR25+AS25)/F25,3)</f>
        <v>43.86</v>
      </c>
      <c r="M25" s="465">
        <f>ROUND((AU25+AV25+AW25+AX25+AY25)/F25,3)</f>
        <v>879.44500000000005</v>
      </c>
      <c r="N25" s="465">
        <f>ROUND((BB25+BC25+BD25+BE25+BF25)/F25,3)</f>
        <v>1515.693</v>
      </c>
      <c r="O25" s="466">
        <f>ROUND(BG25/F25,3)</f>
        <v>14933.236999999999</v>
      </c>
      <c r="P25" s="466">
        <f>ROUND(BH25/F25,3)</f>
        <v>288.80700000000002</v>
      </c>
      <c r="Q25" s="466">
        <f>ROUND(BI25/F25,3)</f>
        <v>7241.2020000000002</v>
      </c>
      <c r="R25" s="472">
        <f t="shared" si="6"/>
        <v>35.088000000000001</v>
      </c>
      <c r="S25" s="465">
        <f t="shared" si="23"/>
        <v>54511.084000000003</v>
      </c>
      <c r="T25" s="465">
        <f>ROUND((AB25+AD25+AE25)/F25,3)</f>
        <v>18069.544000000002</v>
      </c>
      <c r="U25" s="465">
        <f t="shared" si="24"/>
        <v>0</v>
      </c>
      <c r="V25" s="476">
        <f t="shared" si="25"/>
        <v>72580.627999999997</v>
      </c>
      <c r="W25" s="472"/>
      <c r="X25" s="467">
        <f>X13+X24</f>
        <v>2484056.5</v>
      </c>
      <c r="Y25" s="467">
        <f t="shared" ref="Y25:AS25" si="31">Y13+Y24</f>
        <v>866941.2</v>
      </c>
      <c r="Z25" s="467">
        <f t="shared" si="31"/>
        <v>0</v>
      </c>
      <c r="AA25" s="467">
        <f t="shared" si="31"/>
        <v>0</v>
      </c>
      <c r="AB25" s="467">
        <f t="shared" si="31"/>
        <v>1340546</v>
      </c>
      <c r="AC25" s="467">
        <f t="shared" si="31"/>
        <v>0</v>
      </c>
      <c r="AD25" s="467">
        <f t="shared" si="31"/>
        <v>577800</v>
      </c>
      <c r="AE25" s="467">
        <f t="shared" si="31"/>
        <v>141582</v>
      </c>
      <c r="AF25" s="467">
        <f t="shared" si="31"/>
        <v>9000</v>
      </c>
      <c r="AG25" s="467">
        <f t="shared" si="31"/>
        <v>0</v>
      </c>
      <c r="AH25" s="467">
        <f t="shared" si="31"/>
        <v>1000</v>
      </c>
      <c r="AI25" s="467">
        <f t="shared" si="31"/>
        <v>4000</v>
      </c>
      <c r="AJ25" s="467">
        <f t="shared" si="31"/>
        <v>0</v>
      </c>
      <c r="AK25" s="467">
        <f t="shared" si="31"/>
        <v>0</v>
      </c>
      <c r="AL25" s="467">
        <f t="shared" si="31"/>
        <v>6410</v>
      </c>
      <c r="AM25" s="467">
        <f t="shared" si="31"/>
        <v>4000</v>
      </c>
      <c r="AN25" s="467">
        <f t="shared" si="31"/>
        <v>24410</v>
      </c>
      <c r="AO25" s="467">
        <f t="shared" si="31"/>
        <v>0</v>
      </c>
      <c r="AP25" s="467">
        <f t="shared" si="31"/>
        <v>0</v>
      </c>
      <c r="AQ25" s="467">
        <f t="shared" si="31"/>
        <v>0</v>
      </c>
      <c r="AR25" s="467">
        <f t="shared" si="31"/>
        <v>5000</v>
      </c>
      <c r="AS25" s="467">
        <f t="shared" si="31"/>
        <v>0</v>
      </c>
      <c r="AT25" s="472"/>
      <c r="AU25" s="467"/>
      <c r="AV25" s="467">
        <f t="shared" ref="AV25:BM25" si="32">AV13+AV24</f>
        <v>0</v>
      </c>
      <c r="AW25" s="467">
        <f t="shared" si="32"/>
        <v>100256.7</v>
      </c>
      <c r="AX25" s="467">
        <f t="shared" si="32"/>
        <v>0</v>
      </c>
      <c r="AY25" s="467">
        <f t="shared" si="32"/>
        <v>0</v>
      </c>
      <c r="AZ25" s="467">
        <f t="shared" si="32"/>
        <v>0</v>
      </c>
      <c r="BA25" s="467">
        <f t="shared" si="32"/>
        <v>0</v>
      </c>
      <c r="BB25" s="467">
        <f t="shared" si="32"/>
        <v>172789</v>
      </c>
      <c r="BC25" s="467">
        <f t="shared" si="32"/>
        <v>0</v>
      </c>
      <c r="BD25" s="467">
        <f t="shared" si="32"/>
        <v>0</v>
      </c>
      <c r="BE25" s="467">
        <f t="shared" si="32"/>
        <v>0</v>
      </c>
      <c r="BF25" s="467">
        <f t="shared" si="32"/>
        <v>0</v>
      </c>
      <c r="BG25" s="467">
        <f t="shared" si="32"/>
        <v>1702389</v>
      </c>
      <c r="BH25" s="467">
        <f t="shared" si="32"/>
        <v>32924</v>
      </c>
      <c r="BI25" s="467">
        <f t="shared" si="32"/>
        <v>825497</v>
      </c>
      <c r="BJ25" s="467">
        <f t="shared" si="32"/>
        <v>0</v>
      </c>
      <c r="BK25" s="467">
        <f t="shared" si="32"/>
        <v>8274191.4000000004</v>
      </c>
      <c r="BL25" s="170">
        <f t="shared" si="32"/>
        <v>0</v>
      </c>
      <c r="BM25" s="170">
        <f t="shared" si="32"/>
        <v>0</v>
      </c>
      <c r="BN25" s="232">
        <f t="shared" si="29"/>
        <v>72580.63</v>
      </c>
      <c r="BO25" s="467">
        <f t="shared" ref="BO25:BU25" si="33">BO13+BO24</f>
        <v>2484056.5</v>
      </c>
      <c r="BP25" s="467">
        <f t="shared" si="33"/>
        <v>866941.2</v>
      </c>
      <c r="BQ25" s="467">
        <f t="shared" si="33"/>
        <v>2059928</v>
      </c>
      <c r="BR25" s="467">
        <f t="shared" si="33"/>
        <v>825497</v>
      </c>
      <c r="BS25" s="467">
        <f t="shared" si="33"/>
        <v>1735313</v>
      </c>
      <c r="BT25" s="467">
        <f t="shared" si="33"/>
        <v>302455.7</v>
      </c>
      <c r="BU25" s="467">
        <f t="shared" si="33"/>
        <v>8274191.4000000004</v>
      </c>
    </row>
    <row r="26" spans="1:73" s="238" customFormat="1" ht="26.25" customHeight="1">
      <c r="A26" s="458" t="s">
        <v>314</v>
      </c>
      <c r="B26" s="468"/>
      <c r="C26" s="468"/>
      <c r="D26" s="468"/>
      <c r="E26" s="469"/>
      <c r="F26" s="470">
        <f>F12+F23</f>
        <v>481</v>
      </c>
      <c r="G26" s="468"/>
      <c r="H26" s="465">
        <f>ROUND((X26+Y26)/F26,3)</f>
        <v>6744.1459999999997</v>
      </c>
      <c r="I26" s="465">
        <f>ROUND((Z26+AA26)/F26,3)</f>
        <v>3153.1179999999999</v>
      </c>
      <c r="J26" s="465">
        <f t="shared" si="22"/>
        <v>9897.2639999999992</v>
      </c>
      <c r="K26" s="467">
        <f>ROUND((AN26-AM26)/F26,3)</f>
        <v>7.2309999999999999</v>
      </c>
      <c r="L26" s="465">
        <f>ROUND((AO26+AP26+AQ26+AR26+AS26)/F26,3)</f>
        <v>72.462000000000003</v>
      </c>
      <c r="M26" s="465">
        <f>ROUND((AU26+AV26+AW26+AX26+AY26)/F26,3)</f>
        <v>53.886000000000003</v>
      </c>
      <c r="N26" s="465">
        <f>ROUND((BB26+BC26+BD26+BE26+BF26)/F26,2)</f>
        <v>0</v>
      </c>
      <c r="O26" s="466">
        <f>ROUND(BG26/F26,3)</f>
        <v>725.24900000000002</v>
      </c>
      <c r="P26" s="466">
        <f>ROUND(BH26/F26,2)</f>
        <v>0</v>
      </c>
      <c r="Q26" s="466">
        <f>ROUND(BI26/F26,3)</f>
        <v>2461.509</v>
      </c>
      <c r="R26" s="472">
        <f t="shared" si="6"/>
        <v>0</v>
      </c>
      <c r="S26" s="465">
        <f t="shared" si="23"/>
        <v>13217.600999999999</v>
      </c>
      <c r="T26" s="465">
        <f>ROUND((AB26+AD26+AE26)/F26,3)</f>
        <v>197.21600000000001</v>
      </c>
      <c r="U26" s="465">
        <f t="shared" si="24"/>
        <v>0</v>
      </c>
      <c r="V26" s="477">
        <f t="shared" si="25"/>
        <v>13414.816999999999</v>
      </c>
      <c r="W26" s="467"/>
      <c r="X26" s="467">
        <f t="shared" ref="X26:AS26" si="34">X12+X23</f>
        <v>2482744</v>
      </c>
      <c r="Y26" s="467">
        <f t="shared" si="34"/>
        <v>761190.05</v>
      </c>
      <c r="Z26" s="467">
        <f t="shared" si="34"/>
        <v>1159092.8799999999</v>
      </c>
      <c r="AA26" s="467">
        <f t="shared" si="34"/>
        <v>357557</v>
      </c>
      <c r="AB26" s="467">
        <f>AB12+AB23</f>
        <v>46768</v>
      </c>
      <c r="AC26" s="467">
        <f t="shared" si="34"/>
        <v>0</v>
      </c>
      <c r="AD26" s="467">
        <f t="shared" si="34"/>
        <v>45279</v>
      </c>
      <c r="AE26" s="467">
        <f t="shared" si="34"/>
        <v>2814</v>
      </c>
      <c r="AF26" s="467">
        <f t="shared" si="34"/>
        <v>3478.2</v>
      </c>
      <c r="AG26" s="467">
        <f t="shared" si="34"/>
        <v>0</v>
      </c>
      <c r="AH26" s="467">
        <f t="shared" si="34"/>
        <v>0</v>
      </c>
      <c r="AI26" s="467">
        <f t="shared" si="34"/>
        <v>0</v>
      </c>
      <c r="AJ26" s="467">
        <f t="shared" si="34"/>
        <v>0</v>
      </c>
      <c r="AK26" s="467">
        <f t="shared" si="34"/>
        <v>0</v>
      </c>
      <c r="AL26" s="467">
        <f t="shared" si="34"/>
        <v>0</v>
      </c>
      <c r="AM26" s="467">
        <f t="shared" si="34"/>
        <v>0</v>
      </c>
      <c r="AN26" s="467">
        <f t="shared" si="34"/>
        <v>3478.2</v>
      </c>
      <c r="AO26" s="467">
        <f t="shared" si="34"/>
        <v>0</v>
      </c>
      <c r="AP26" s="467">
        <f t="shared" si="34"/>
        <v>0</v>
      </c>
      <c r="AQ26" s="467">
        <f t="shared" si="34"/>
        <v>22200</v>
      </c>
      <c r="AR26" s="467">
        <f t="shared" si="34"/>
        <v>12654</v>
      </c>
      <c r="AS26" s="467">
        <f t="shared" si="34"/>
        <v>0</v>
      </c>
      <c r="AT26" s="467"/>
      <c r="AU26" s="467"/>
      <c r="AV26" s="467">
        <f t="shared" ref="AV26:BK26" si="35">AV12+AV23</f>
        <v>14742</v>
      </c>
      <c r="AW26" s="467">
        <f t="shared" si="35"/>
        <v>11177</v>
      </c>
      <c r="AX26" s="467">
        <f t="shared" si="35"/>
        <v>0</v>
      </c>
      <c r="AY26" s="467">
        <f t="shared" si="35"/>
        <v>0</v>
      </c>
      <c r="AZ26" s="467">
        <f t="shared" si="35"/>
        <v>0</v>
      </c>
      <c r="BA26" s="467">
        <f t="shared" si="35"/>
        <v>0</v>
      </c>
      <c r="BB26" s="467">
        <f t="shared" si="35"/>
        <v>0</v>
      </c>
      <c r="BC26" s="467">
        <f t="shared" si="35"/>
        <v>0</v>
      </c>
      <c r="BD26" s="467">
        <f t="shared" si="35"/>
        <v>0</v>
      </c>
      <c r="BE26" s="467">
        <f t="shared" si="35"/>
        <v>0</v>
      </c>
      <c r="BF26" s="467">
        <f t="shared" si="35"/>
        <v>0</v>
      </c>
      <c r="BG26" s="467">
        <f t="shared" si="35"/>
        <v>348844.75</v>
      </c>
      <c r="BH26" s="467">
        <f t="shared" si="35"/>
        <v>0</v>
      </c>
      <c r="BI26" s="467">
        <f t="shared" si="35"/>
        <v>1183986</v>
      </c>
      <c r="BJ26" s="467">
        <f t="shared" si="35"/>
        <v>0</v>
      </c>
      <c r="BK26" s="467">
        <f t="shared" si="35"/>
        <v>6452526.8799999999</v>
      </c>
      <c r="BL26" s="170"/>
      <c r="BM26" s="170"/>
      <c r="BN26" s="232">
        <f t="shared" si="29"/>
        <v>13414.82</v>
      </c>
      <c r="BO26" s="467">
        <f t="shared" ref="BO26:BU26" si="36">BO12+BO23</f>
        <v>3641836.88</v>
      </c>
      <c r="BP26" s="467">
        <f t="shared" si="36"/>
        <v>1118747.05</v>
      </c>
      <c r="BQ26" s="467">
        <f t="shared" si="36"/>
        <v>94861</v>
      </c>
      <c r="BR26" s="467">
        <f t="shared" si="36"/>
        <v>1183986</v>
      </c>
      <c r="BS26" s="467">
        <f t="shared" si="36"/>
        <v>348844.75</v>
      </c>
      <c r="BT26" s="467">
        <f t="shared" si="36"/>
        <v>64251.199999999997</v>
      </c>
      <c r="BU26" s="467">
        <f t="shared" si="36"/>
        <v>6452526.8799999999</v>
      </c>
    </row>
    <row r="27" spans="1:73" s="238" customFormat="1" ht="25.5" customHeight="1">
      <c r="A27" s="458" t="s">
        <v>315</v>
      </c>
      <c r="B27" s="468"/>
      <c r="C27" s="468"/>
      <c r="D27" s="468"/>
      <c r="E27" s="469"/>
      <c r="F27" s="470">
        <f>F18</f>
        <v>712</v>
      </c>
      <c r="G27" s="468"/>
      <c r="H27" s="465">
        <f>ROUND((X27+Y27)/F27,3)</f>
        <v>3865.9630000000002</v>
      </c>
      <c r="I27" s="465">
        <f>ROUND((Z27+AA27)/F27,3)</f>
        <v>804.02499999999998</v>
      </c>
      <c r="J27" s="465">
        <f t="shared" si="22"/>
        <v>4669.9880000000003</v>
      </c>
      <c r="K27" s="467">
        <f>ROUND((AN27-AM27)/F27,2)</f>
        <v>98.05</v>
      </c>
      <c r="L27" s="465">
        <f>ROUND((AO27+AP27+AQ27+AR27+AS27)/F27,3)</f>
        <v>61.235999999999997</v>
      </c>
      <c r="M27" s="465">
        <f>ROUND((AU27+AV27+AW27+AX27+AY27)/F27,3)</f>
        <v>0</v>
      </c>
      <c r="N27" s="465">
        <f>ROUND((BB27+BC27+BD27+BE27+BF27)/F27,2)</f>
        <v>0</v>
      </c>
      <c r="O27" s="466">
        <f>ROUND(BG27/F27,2)</f>
        <v>0</v>
      </c>
      <c r="P27" s="466">
        <f>ROUND(BH27/F27,2)</f>
        <v>0</v>
      </c>
      <c r="Q27" s="466">
        <f>ROUND(BI27/F27,3)</f>
        <v>711.524</v>
      </c>
      <c r="R27" s="472">
        <f t="shared" si="6"/>
        <v>19.588000000000001</v>
      </c>
      <c r="S27" s="465">
        <f t="shared" si="23"/>
        <v>5560.3860000000004</v>
      </c>
      <c r="T27" s="465">
        <f>ROUND((AB27+AD27+AE27)/F27,3)</f>
        <v>231.90299999999999</v>
      </c>
      <c r="U27" s="465">
        <f t="shared" si="24"/>
        <v>0</v>
      </c>
      <c r="V27" s="477">
        <f t="shared" si="25"/>
        <v>5792.2890000000007</v>
      </c>
      <c r="W27" s="467"/>
      <c r="X27" s="467">
        <f>X18</f>
        <v>2104144.0099999998</v>
      </c>
      <c r="Y27" s="467">
        <f t="shared" ref="Y27:AS27" si="37">Y18</f>
        <v>648421.92000000004</v>
      </c>
      <c r="Z27" s="467">
        <f t="shared" si="37"/>
        <v>439681.49</v>
      </c>
      <c r="AA27" s="467">
        <f t="shared" si="37"/>
        <v>132784</v>
      </c>
      <c r="AB27" s="467">
        <f t="shared" si="37"/>
        <v>94963</v>
      </c>
      <c r="AC27" s="467">
        <f t="shared" si="37"/>
        <v>0</v>
      </c>
      <c r="AD27" s="467">
        <f t="shared" si="37"/>
        <v>40192</v>
      </c>
      <c r="AE27" s="467">
        <f t="shared" si="37"/>
        <v>29960</v>
      </c>
      <c r="AF27" s="467">
        <f t="shared" si="37"/>
        <v>16053.95</v>
      </c>
      <c r="AG27" s="467">
        <f t="shared" si="37"/>
        <v>0</v>
      </c>
      <c r="AH27" s="467">
        <f t="shared" si="37"/>
        <v>1665</v>
      </c>
      <c r="AI27" s="467">
        <f t="shared" si="37"/>
        <v>0</v>
      </c>
      <c r="AJ27" s="467">
        <f t="shared" si="37"/>
        <v>0</v>
      </c>
      <c r="AK27" s="467">
        <f t="shared" si="37"/>
        <v>48758</v>
      </c>
      <c r="AL27" s="467">
        <f t="shared" si="37"/>
        <v>3335</v>
      </c>
      <c r="AM27" s="467">
        <f t="shared" si="37"/>
        <v>13947</v>
      </c>
      <c r="AN27" s="467">
        <f t="shared" si="37"/>
        <v>83758.95</v>
      </c>
      <c r="AO27" s="467">
        <f t="shared" si="37"/>
        <v>1600</v>
      </c>
      <c r="AP27" s="467">
        <f t="shared" si="37"/>
        <v>0</v>
      </c>
      <c r="AQ27" s="467">
        <f t="shared" si="37"/>
        <v>42000</v>
      </c>
      <c r="AR27" s="467">
        <f t="shared" si="37"/>
        <v>0</v>
      </c>
      <c r="AS27" s="467">
        <f t="shared" si="37"/>
        <v>0</v>
      </c>
      <c r="AT27" s="467"/>
      <c r="AU27" s="467"/>
      <c r="AV27" s="467">
        <f t="shared" ref="AV27:BK27" si="38">AV18</f>
        <v>0</v>
      </c>
      <c r="AW27" s="467">
        <f t="shared" si="38"/>
        <v>0</v>
      </c>
      <c r="AX27" s="467">
        <f t="shared" si="38"/>
        <v>0</v>
      </c>
      <c r="AY27" s="467">
        <f t="shared" si="38"/>
        <v>0</v>
      </c>
      <c r="AZ27" s="467">
        <f t="shared" si="38"/>
        <v>0</v>
      </c>
      <c r="BA27" s="467">
        <f t="shared" si="38"/>
        <v>0</v>
      </c>
      <c r="BB27" s="467">
        <f t="shared" si="38"/>
        <v>0</v>
      </c>
      <c r="BC27" s="467">
        <f t="shared" si="38"/>
        <v>0</v>
      </c>
      <c r="BD27" s="467">
        <f t="shared" si="38"/>
        <v>0</v>
      </c>
      <c r="BE27" s="467">
        <f t="shared" si="38"/>
        <v>0</v>
      </c>
      <c r="BF27" s="467">
        <f t="shared" si="38"/>
        <v>0</v>
      </c>
      <c r="BG27" s="467">
        <f t="shared" si="38"/>
        <v>0</v>
      </c>
      <c r="BH27" s="467">
        <f t="shared" si="38"/>
        <v>0</v>
      </c>
      <c r="BI27" s="467">
        <f t="shared" si="38"/>
        <v>506605</v>
      </c>
      <c r="BJ27" s="467">
        <f t="shared" si="38"/>
        <v>0</v>
      </c>
      <c r="BK27" s="467">
        <f t="shared" si="38"/>
        <v>4124110.37</v>
      </c>
      <c r="BL27" s="170"/>
      <c r="BM27" s="170"/>
      <c r="BN27" s="232">
        <f t="shared" si="29"/>
        <v>5792.29</v>
      </c>
      <c r="BO27" s="467">
        <f t="shared" ref="BO27:BU27" si="39">BO18</f>
        <v>2543825.5</v>
      </c>
      <c r="BP27" s="467">
        <f t="shared" si="39"/>
        <v>781205.92</v>
      </c>
      <c r="BQ27" s="467">
        <f t="shared" si="39"/>
        <v>165115</v>
      </c>
      <c r="BR27" s="467">
        <f t="shared" si="39"/>
        <v>506605</v>
      </c>
      <c r="BS27" s="467">
        <f t="shared" si="39"/>
        <v>0</v>
      </c>
      <c r="BT27" s="467">
        <f t="shared" si="39"/>
        <v>127358.95</v>
      </c>
      <c r="BU27" s="467">
        <f t="shared" si="39"/>
        <v>4124110.37</v>
      </c>
    </row>
    <row r="28" spans="1:73" s="238" customFormat="1" ht="26.25" customHeight="1">
      <c r="A28" s="458" t="s">
        <v>316</v>
      </c>
      <c r="B28" s="468"/>
      <c r="C28" s="468"/>
      <c r="D28" s="468"/>
      <c r="E28" s="469"/>
      <c r="F28" s="470">
        <f>F20</f>
        <v>29</v>
      </c>
      <c r="G28" s="468"/>
      <c r="H28" s="465">
        <f>ROUND((X28+Y28)/F28,2)</f>
        <v>7377.65</v>
      </c>
      <c r="I28" s="465">
        <f>ROUND((Z28+AA28)/F28,2)</f>
        <v>0</v>
      </c>
      <c r="J28" s="465">
        <f t="shared" si="22"/>
        <v>7377.65</v>
      </c>
      <c r="K28" s="467">
        <f>ROUND((AN28-AM28)/F28,2)</f>
        <v>191.38</v>
      </c>
      <c r="L28" s="465">
        <f>ROUND((AO28+AP28+AQ28+AR28+AS28)/F28,2)</f>
        <v>0</v>
      </c>
      <c r="M28" s="465">
        <f>ROUND((AU28+AV28+AW28+AX28+AY28)/F28,2)</f>
        <v>0</v>
      </c>
      <c r="N28" s="465">
        <f>ROUND((BB28+BC28+BD28+BE28+BF28)/F28,2)</f>
        <v>0</v>
      </c>
      <c r="O28" s="466">
        <f>ROUND(BG28/F28,2)</f>
        <v>0</v>
      </c>
      <c r="P28" s="466">
        <f>ROUND(BH28/F28,2)</f>
        <v>0</v>
      </c>
      <c r="Q28" s="466">
        <f>ROUND(BI28/F28,2)</f>
        <v>558.1</v>
      </c>
      <c r="R28" s="472">
        <f t="shared" si="6"/>
        <v>119.621</v>
      </c>
      <c r="S28" s="465">
        <f t="shared" si="23"/>
        <v>8246.7510000000002</v>
      </c>
      <c r="T28" s="465">
        <f>ROUND((AB28+AD28+AE28)/F28,2)</f>
        <v>3666.89</v>
      </c>
      <c r="U28" s="465">
        <f t="shared" si="24"/>
        <v>0</v>
      </c>
      <c r="V28" s="477">
        <f t="shared" si="25"/>
        <v>11913.641</v>
      </c>
      <c r="W28" s="467"/>
      <c r="X28" s="467">
        <f>X20</f>
        <v>164344.92000000001</v>
      </c>
      <c r="Y28" s="467">
        <f t="shared" ref="Y28:AS28" si="40">Y20</f>
        <v>49607.07</v>
      </c>
      <c r="Z28" s="467">
        <f t="shared" si="40"/>
        <v>0</v>
      </c>
      <c r="AA28" s="467">
        <f t="shared" si="40"/>
        <v>0</v>
      </c>
      <c r="AB28" s="467">
        <f t="shared" si="40"/>
        <v>41620</v>
      </c>
      <c r="AC28" s="467">
        <f t="shared" si="40"/>
        <v>0</v>
      </c>
      <c r="AD28" s="467">
        <f t="shared" si="40"/>
        <v>45305</v>
      </c>
      <c r="AE28" s="467">
        <f t="shared" si="40"/>
        <v>19414.7</v>
      </c>
      <c r="AF28" s="467">
        <f t="shared" si="40"/>
        <v>5550</v>
      </c>
      <c r="AG28" s="467">
        <f t="shared" si="40"/>
        <v>0</v>
      </c>
      <c r="AH28" s="467">
        <f t="shared" si="40"/>
        <v>0</v>
      </c>
      <c r="AI28" s="467">
        <f t="shared" si="40"/>
        <v>0</v>
      </c>
      <c r="AJ28" s="467">
        <f t="shared" si="40"/>
        <v>0</v>
      </c>
      <c r="AK28" s="467">
        <f t="shared" si="40"/>
        <v>0</v>
      </c>
      <c r="AL28" s="467">
        <f t="shared" si="40"/>
        <v>0</v>
      </c>
      <c r="AM28" s="467">
        <f t="shared" si="40"/>
        <v>3469</v>
      </c>
      <c r="AN28" s="467">
        <f t="shared" si="40"/>
        <v>9019</v>
      </c>
      <c r="AO28" s="467">
        <f t="shared" si="40"/>
        <v>0</v>
      </c>
      <c r="AP28" s="467">
        <f t="shared" si="40"/>
        <v>0</v>
      </c>
      <c r="AQ28" s="467">
        <f t="shared" si="40"/>
        <v>0</v>
      </c>
      <c r="AR28" s="467">
        <f t="shared" si="40"/>
        <v>0</v>
      </c>
      <c r="AS28" s="467">
        <f t="shared" si="40"/>
        <v>0</v>
      </c>
      <c r="AT28" s="467"/>
      <c r="AU28" s="467"/>
      <c r="AV28" s="467">
        <f t="shared" ref="AV28:BK28" si="41">AV20</f>
        <v>0</v>
      </c>
      <c r="AW28" s="467">
        <f t="shared" si="41"/>
        <v>0</v>
      </c>
      <c r="AX28" s="467">
        <f t="shared" si="41"/>
        <v>0</v>
      </c>
      <c r="AY28" s="467">
        <f t="shared" si="41"/>
        <v>0</v>
      </c>
      <c r="AZ28" s="467">
        <f t="shared" si="41"/>
        <v>0</v>
      </c>
      <c r="BA28" s="467">
        <f t="shared" si="41"/>
        <v>0</v>
      </c>
      <c r="BB28" s="467">
        <f t="shared" si="41"/>
        <v>0</v>
      </c>
      <c r="BC28" s="467">
        <f t="shared" si="41"/>
        <v>0</v>
      </c>
      <c r="BD28" s="467">
        <f t="shared" si="41"/>
        <v>0</v>
      </c>
      <c r="BE28" s="467">
        <f t="shared" si="41"/>
        <v>0</v>
      </c>
      <c r="BF28" s="467">
        <f t="shared" si="41"/>
        <v>0</v>
      </c>
      <c r="BG28" s="467">
        <f t="shared" si="41"/>
        <v>0</v>
      </c>
      <c r="BH28" s="467">
        <f t="shared" si="41"/>
        <v>0</v>
      </c>
      <c r="BI28" s="467">
        <f t="shared" si="41"/>
        <v>16185</v>
      </c>
      <c r="BJ28" s="467">
        <f t="shared" si="41"/>
        <v>0</v>
      </c>
      <c r="BK28" s="467">
        <f t="shared" si="41"/>
        <v>345495.69</v>
      </c>
      <c r="BL28" s="170"/>
      <c r="BM28" s="170"/>
      <c r="BN28" s="232">
        <f t="shared" si="29"/>
        <v>11913.64</v>
      </c>
      <c r="BO28" s="467">
        <f>BO20</f>
        <v>164344.92000000001</v>
      </c>
      <c r="BP28" s="467">
        <f t="shared" ref="BP28:BU28" si="42">BP20</f>
        <v>49607.07</v>
      </c>
      <c r="BQ28" s="467">
        <f t="shared" si="42"/>
        <v>106339.7</v>
      </c>
      <c r="BR28" s="467">
        <f t="shared" si="42"/>
        <v>16185</v>
      </c>
      <c r="BS28" s="467">
        <f t="shared" si="42"/>
        <v>0</v>
      </c>
      <c r="BT28" s="467">
        <f t="shared" si="42"/>
        <v>9019</v>
      </c>
      <c r="BU28" s="467">
        <f t="shared" si="42"/>
        <v>345495.69</v>
      </c>
    </row>
  </sheetData>
  <mergeCells count="102">
    <mergeCell ref="W4:W10"/>
    <mergeCell ref="AA7:AA10"/>
    <mergeCell ref="A1:U1"/>
    <mergeCell ref="Q6:Q10"/>
    <mergeCell ref="A4:A10"/>
    <mergeCell ref="D4:D10"/>
    <mergeCell ref="F4:F10"/>
    <mergeCell ref="J8:J10"/>
    <mergeCell ref="L6:L10"/>
    <mergeCell ref="M6:M10"/>
    <mergeCell ref="O6:O10"/>
    <mergeCell ref="P6:P10"/>
    <mergeCell ref="X6:AA6"/>
    <mergeCell ref="BB8:BB10"/>
    <mergeCell ref="BB6:BE6"/>
    <mergeCell ref="AD9:AD10"/>
    <mergeCell ref="X7:X10"/>
    <mergeCell ref="Y7:Y10"/>
    <mergeCell ref="AB9:AB10"/>
    <mergeCell ref="AB7:AE8"/>
    <mergeCell ref="Z7:Z10"/>
    <mergeCell ref="AF6:AN6"/>
    <mergeCell ref="AF7:AN8"/>
    <mergeCell ref="AI9:AI10"/>
    <mergeCell ref="AL9:AL10"/>
    <mergeCell ref="AT5:AT10"/>
    <mergeCell ref="AJ9:AJ10"/>
    <mergeCell ref="AG9:AG10"/>
    <mergeCell ref="AN9:AN10"/>
    <mergeCell ref="AK9:AK10"/>
    <mergeCell ref="BO4:BU4"/>
    <mergeCell ref="BO5:BU5"/>
    <mergeCell ref="BO6:BO10"/>
    <mergeCell ref="BP6:BP10"/>
    <mergeCell ref="BQ6:BQ10"/>
    <mergeCell ref="BR6:BR10"/>
    <mergeCell ref="BD8:BE10"/>
    <mergeCell ref="BA8:BA10"/>
    <mergeCell ref="AV8:AV10"/>
    <mergeCell ref="BC8:BC10"/>
    <mergeCell ref="BL5:BL10"/>
    <mergeCell ref="BD7:BE7"/>
    <mergeCell ref="BU6:BU10"/>
    <mergeCell ref="BT6:BT10"/>
    <mergeCell ref="BN5:BN10"/>
    <mergeCell ref="BI5:BI10"/>
    <mergeCell ref="BS6:BS10"/>
    <mergeCell ref="BH5:BH10"/>
    <mergeCell ref="AW8:AY8"/>
    <mergeCell ref="AU7:AY7"/>
    <mergeCell ref="BB5:BF5"/>
    <mergeCell ref="AU8:AU10"/>
    <mergeCell ref="BJ5:BJ10"/>
    <mergeCell ref="AX9:AX10"/>
    <mergeCell ref="BD1:BK1"/>
    <mergeCell ref="S4:S10"/>
    <mergeCell ref="G4:G10"/>
    <mergeCell ref="H6:J6"/>
    <mergeCell ref="H4:R4"/>
    <mergeCell ref="H7:J7"/>
    <mergeCell ref="H5:R5"/>
    <mergeCell ref="K6:K10"/>
    <mergeCell ref="AF9:AF10"/>
    <mergeCell ref="AQ9:AQ10"/>
    <mergeCell ref="B2:V2"/>
    <mergeCell ref="B3:V3"/>
    <mergeCell ref="AR9:AR10"/>
    <mergeCell ref="BK5:BK10"/>
    <mergeCell ref="AZ8:AZ10"/>
    <mergeCell ref="BF8:BF10"/>
    <mergeCell ref="AS9:AS10"/>
    <mergeCell ref="AB5:AS5"/>
    <mergeCell ref="AM9:AM10"/>
    <mergeCell ref="AH9:AH10"/>
    <mergeCell ref="AO6:AS6"/>
    <mergeCell ref="AU6:BA6"/>
    <mergeCell ref="BF6:BF7"/>
    <mergeCell ref="AO7:AS8"/>
    <mergeCell ref="AY9:AY10"/>
    <mergeCell ref="AU5:BA5"/>
    <mergeCell ref="AW9:AW10"/>
    <mergeCell ref="AP9:AP10"/>
    <mergeCell ref="AO9:AO10"/>
    <mergeCell ref="B21:U21"/>
    <mergeCell ref="C4:C10"/>
    <mergeCell ref="T4:U5"/>
    <mergeCell ref="V4:V10"/>
    <mergeCell ref="H8:H10"/>
    <mergeCell ref="I8:I10"/>
    <mergeCell ref="R6:R10"/>
    <mergeCell ref="T6:T10"/>
    <mergeCell ref="U6:U10"/>
    <mergeCell ref="N6:N10"/>
    <mergeCell ref="B4:B10"/>
    <mergeCell ref="E4:E10"/>
    <mergeCell ref="AB6:AE6"/>
    <mergeCell ref="X4:BN4"/>
    <mergeCell ref="X5:AA5"/>
    <mergeCell ref="BG5:BG10"/>
    <mergeCell ref="BM5:BM10"/>
    <mergeCell ref="AE9:AE10"/>
    <mergeCell ref="AC9:AC10"/>
  </mergeCells>
  <phoneticPr fontId="2" type="noConversion"/>
  <pageMargins left="0.11811023622047245" right="7.874015748031496E-2" top="0.19685039370078741" bottom="7.874015748031496E-2" header="0.35433070866141736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0901Пр.2(1) спец</vt:lpstr>
      <vt:lpstr>0901+0902 Пр.2(2) палиат</vt:lpstr>
      <vt:lpstr>0901Пр.2(3) Аутоп. Работы</vt:lpstr>
      <vt:lpstr>0901Пр.2(4) высок техн</vt:lpstr>
      <vt:lpstr>0902 Пр.2(5)перв</vt:lpstr>
      <vt:lpstr>0902 Пр.2(6)перв амб</vt:lpstr>
      <vt:lpstr>0902 Пр.2(7)мед освид</vt:lpstr>
      <vt:lpstr>0902 Пр.2(8)молоч кух</vt:lpstr>
      <vt:lpstr>0903 Пр.2 (9)дн стац</vt:lpstr>
      <vt:lpstr>0904 Пр.2(10) скорая</vt:lpstr>
      <vt:lpstr>0906 Пр.2(11) СПК</vt:lpstr>
      <vt:lpstr>0907 Пр.2(12)Дезстан</vt:lpstr>
      <vt:lpstr>0909 Пр.2(13) СПИД</vt:lpstr>
      <vt:lpstr>0909 Пр.2(14)Дом реб</vt:lpstr>
      <vt:lpstr>0909 Пр.2(15)Резерв,</vt:lpstr>
      <vt:lpstr>0909 Пр.2(16) стомат</vt:lpstr>
      <vt:lpstr>0909 Пр.2(17)Судмед</vt:lpstr>
      <vt:lpstr>0909 Пр.2(18)МИАЦ</vt:lpstr>
      <vt:lpstr>0801 Пр.2(19) библ</vt:lpstr>
      <vt:lpstr>'0801 Пр.2(19) библ'!Заголовки_для_печати</vt:lpstr>
      <vt:lpstr>'0901+0902 Пр.2(2) палиат'!Заголовки_для_печати</vt:lpstr>
      <vt:lpstr>'0901Пр.2(1) спец'!Заголовки_для_печати</vt:lpstr>
      <vt:lpstr>'0901Пр.2(3) Аутоп. Работы'!Заголовки_для_печати</vt:lpstr>
      <vt:lpstr>'0901Пр.2(4) высок техн'!Заголовки_для_печати</vt:lpstr>
      <vt:lpstr>'0902 Пр.2(5)перв'!Заголовки_для_печати</vt:lpstr>
      <vt:lpstr>'0902 Пр.2(6)перв амб'!Заголовки_для_печати</vt:lpstr>
      <vt:lpstr>'0902 Пр.2(8)молоч кух'!Заголовки_для_печати</vt:lpstr>
      <vt:lpstr>'0903 Пр.2 (9)дн стац'!Заголовки_для_печати</vt:lpstr>
      <vt:lpstr>'0904 Пр.2(10) скорая'!Заголовки_для_печати</vt:lpstr>
      <vt:lpstr>'0906 Пр.2(11) СПК'!Заголовки_для_печати</vt:lpstr>
      <vt:lpstr>'0907 Пр.2(12)Дезстан'!Заголовки_для_печати</vt:lpstr>
      <vt:lpstr>'0909 Пр.2(13) СПИД'!Заголовки_для_печати</vt:lpstr>
      <vt:lpstr>'0909 Пр.2(14)Дом реб'!Заголовки_для_печати</vt:lpstr>
      <vt:lpstr>'0909 Пр.2(16) стомат'!Заголовки_для_печати</vt:lpstr>
      <vt:lpstr>'0909 Пр.2(17)Судмед'!Заголовки_для_печати</vt:lpstr>
      <vt:lpstr>'0909 Пр.2(18)МИАЦ'!Заголовки_для_печати</vt:lpstr>
      <vt:lpstr>'0901+0902 Пр.2(2) палиат'!Область_печати</vt:lpstr>
    </vt:vector>
  </TitlesOfParts>
  <Company>ДОКиС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</dc:creator>
  <cp:lastModifiedBy>Пользователь Windows</cp:lastModifiedBy>
  <cp:lastPrinted>2018-04-17T07:23:09Z</cp:lastPrinted>
  <dcterms:created xsi:type="dcterms:W3CDTF">2010-07-07T13:36:49Z</dcterms:created>
  <dcterms:modified xsi:type="dcterms:W3CDTF">2018-04-17T07:23:12Z</dcterms:modified>
</cp:coreProperties>
</file>